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mbari-my.sharepoint.com/personal/dacr_mbari_org/Documents/MARS/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I21" i="1"/>
  <c r="J37" i="1"/>
  <c r="M23" i="1" l="1"/>
  <c r="K25" i="1"/>
  <c r="K23" i="1"/>
  <c r="K22" i="1"/>
  <c r="K19" i="1"/>
  <c r="K18" i="1"/>
  <c r="K17" i="1"/>
  <c r="K16" i="1"/>
  <c r="K15" i="1"/>
  <c r="K14" i="1"/>
  <c r="K13" i="1"/>
  <c r="K12" i="1"/>
  <c r="K20" i="1"/>
  <c r="M25" i="1"/>
  <c r="J26" i="1"/>
  <c r="I26" i="1"/>
  <c r="G26" i="1"/>
  <c r="M22" i="1"/>
  <c r="F25" i="1"/>
  <c r="E22" i="1" l="1"/>
  <c r="E23" i="1"/>
  <c r="E21" i="1"/>
  <c r="B25" i="1"/>
  <c r="B24" i="1"/>
  <c r="B23" i="1"/>
  <c r="B22" i="1"/>
  <c r="B21" i="1"/>
  <c r="D25" i="1"/>
  <c r="D24" i="1"/>
  <c r="D23" i="1"/>
  <c r="D22" i="1"/>
  <c r="D21" i="1"/>
  <c r="O24" i="1" l="1"/>
  <c r="O21" i="1"/>
  <c r="K11" i="1"/>
  <c r="F22" i="1"/>
  <c r="F23" i="1"/>
  <c r="F18" i="1"/>
  <c r="F19" i="1"/>
  <c r="F20" i="1"/>
  <c r="F24" i="1"/>
  <c r="F26" i="1" l="1"/>
  <c r="H23" i="1"/>
  <c r="H22" i="1"/>
  <c r="F21" i="1"/>
  <c r="B26" i="1"/>
  <c r="H24" i="1"/>
  <c r="M24" i="1" s="1"/>
  <c r="K24" i="1" l="1"/>
  <c r="H25" i="1"/>
  <c r="H21" i="1"/>
  <c r="M21" i="1" l="1"/>
  <c r="H26" i="1"/>
  <c r="K26" i="1" s="1"/>
  <c r="K27" i="1" s="1"/>
  <c r="K28" i="1" s="1"/>
  <c r="K21" i="1"/>
  <c r="M26" i="1" l="1"/>
  <c r="N21" i="1"/>
  <c r="N22" i="1" l="1"/>
  <c r="N23" i="1" s="1"/>
  <c r="N24" i="1" s="1"/>
  <c r="N25" i="1" s="1"/>
</calcChain>
</file>

<file path=xl/comments1.xml><?xml version="1.0" encoding="utf-8"?>
<comments xmlns="http://schemas.openxmlformats.org/spreadsheetml/2006/main">
  <authors>
    <author>Craig Dawe</author>
  </authors>
  <commentList>
    <comment ref="B1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DRT,DF 2019
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Dawe,Mcgilll,Schram,Schnitger</t>
        </r>
      </text>
    </comment>
    <comment ref="E1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Linda Khunz Survey Hrs
</t>
        </r>
      </text>
    </comment>
    <comment ref="G1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port fees UW recovered Dec15, Soundscape, Diemos, RyanNPS,DSC deployed Dec15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expected income from UW APL, Ryan PAM, Haddock/Martini</t>
        </r>
      </text>
    </comment>
    <comment ref="B12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DRT 640 hrs 2020
</t>
        </r>
      </text>
    </comment>
    <comment ref="D12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Dawe 640 hrs 2020
</t>
        </r>
      </text>
    </comment>
    <comment ref="G12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RyanNPS,DSC d</t>
        </r>
      </text>
    </comment>
    <comment ref="G13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RyanNPS,DSC d</t>
        </r>
      </text>
    </comment>
    <comment ref="G14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</t>
        </r>
      </text>
    </comment>
    <comment ref="I14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Linda K Outside services contract
</t>
        </r>
      </text>
    </comment>
    <comment ref="E15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James Barry
</t>
        </r>
      </text>
    </comment>
    <comment ref="G15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</t>
        </r>
      </text>
    </comment>
    <comment ref="G16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</t>
        </r>
      </text>
    </comment>
    <comment ref="D17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Dawe + Peltzer, McGill, Mellinger
80, 40, 80</t>
        </r>
      </text>
    </comment>
    <comment ref="D18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dawe 53 hr*.66</t>
        </r>
      </text>
    </comment>
    <comment ref="G18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
</t>
        </r>
      </text>
    </comment>
    <comment ref="G19" authorId="0" shapeId="0">
      <text>
        <r>
          <rPr>
            <b/>
            <sz val="9"/>
            <color indexed="81"/>
            <rFont val="Tahoma"/>
            <charset val="1"/>
          </rPr>
          <t>Craig Dawe:
port fees  Soundscape, Diemos, RyanNPS, 50% SES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1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 50% SES, 50% Quest
</t>
        </r>
      </text>
    </comment>
    <comment ref="E22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50hrs Rays time to machine MVC</t>
        </r>
      </text>
    </comment>
    <comment ref="G22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RyanNPS, Quest
</t>
        </r>
      </text>
    </comment>
    <comment ref="E23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50hrs Rays time to machine MVC</t>
        </r>
      </text>
    </comment>
    <comment ref="G23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RyanNPS, Quest
</t>
        </r>
      </text>
    </comment>
    <comment ref="J23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Sonardyne recovery not a mars charge
</t>
        </r>
      </text>
    </comment>
    <comment ref="E24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Labor to machine spline, 20hrs Ray's time.</t>
        </r>
      </text>
    </comment>
    <comment ref="G24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RyanNPS, Quest
</t>
        </r>
      </text>
    </comment>
    <comment ref="G25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RyanNPS, Quest
</t>
        </r>
      </text>
    </comment>
    <comment ref="J25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Node maintenance ship day</t>
        </r>
      </text>
    </comment>
    <comment ref="J32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Node Recovery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Projected Income total based on planned projects and current
</t>
        </r>
      </text>
    </comment>
  </commentList>
</comments>
</file>

<file path=xl/sharedStrings.xml><?xml version="1.0" encoding="utf-8"?>
<sst xmlns="http://schemas.openxmlformats.org/spreadsheetml/2006/main" count="53" uniqueCount="53">
  <si>
    <t>labor MARS Technician</t>
  </si>
  <si>
    <t>labor MARS Manager</t>
  </si>
  <si>
    <t>Science (Survey techs)</t>
  </si>
  <si>
    <t>income</t>
  </si>
  <si>
    <t>indirect</t>
  </si>
  <si>
    <t>expenses</t>
  </si>
  <si>
    <t>ship time</t>
  </si>
  <si>
    <t>Total</t>
  </si>
  <si>
    <t>and engineering support</t>
  </si>
  <si>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</si>
  <si>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</si>
  <si>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</si>
  <si>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</si>
  <si>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</si>
  <si>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</si>
  <si>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</si>
  <si>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</si>
  <si>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</si>
  <si>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</si>
  <si>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</si>
  <si>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Craig Dawe</t>
  </si>
  <si>
    <t>Duane Thompson</t>
  </si>
  <si>
    <t>Rich Schramm</t>
  </si>
  <si>
    <t>Michael Risi</t>
  </si>
  <si>
    <t>Paul McGill</t>
  </si>
  <si>
    <t>Peter Walz</t>
  </si>
  <si>
    <t>Ray Thompson</t>
  </si>
  <si>
    <t>Doug Pargett</t>
  </si>
  <si>
    <t xml:space="preserve">Jose Rosal </t>
  </si>
  <si>
    <t>Ed Mellinger</t>
  </si>
  <si>
    <t>Linda Khunz</t>
  </si>
  <si>
    <t>Carson Ventana 2018</t>
  </si>
  <si>
    <t>WF /DR</t>
  </si>
  <si>
    <t>Notes</t>
  </si>
  <si>
    <t>Expenses are estimated</t>
  </si>
  <si>
    <t>Eng Support</t>
  </si>
  <si>
    <t>Labor is 640/yr Dawe D. Thompson, E Peltzer is estimated</t>
  </si>
  <si>
    <t>Yr 6 No Cost Extension</t>
  </si>
  <si>
    <t>Project  projection</t>
  </si>
  <si>
    <t>total</t>
  </si>
  <si>
    <t>Remaining Feb 28 2021</t>
  </si>
  <si>
    <t>With Income</t>
  </si>
  <si>
    <t>Income from port fees from last Lash PSR Sept 10 2020</t>
  </si>
  <si>
    <t>Dec</t>
  </si>
  <si>
    <t>fringe 57.15%</t>
  </si>
  <si>
    <t>PSR Date Oct 6 2020</t>
  </si>
  <si>
    <t>Updated 10/6</t>
  </si>
  <si>
    <t>Updated PSR 10/06/2020</t>
  </si>
  <si>
    <t>Income from port fees As of Sept 11 2020</t>
  </si>
  <si>
    <t>hrs/year for full vacation (6 week)</t>
  </si>
  <si>
    <t>Cross Check</t>
  </si>
  <si>
    <t>capital spending (ti for MVC housing and ODI Hybrid test plug)</t>
  </si>
  <si>
    <t>Service contract to UW for Node Upgrade requirements definition and preliminary design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</si>
</sst>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31">
    <xf numFmtId="0" fontId="0" fillId="0" borderId="0" xfId="0"/>
    <xf numFmtId="0" fontId="0" fillId="3" borderId="0" xfId="0" applyFill="1"/>
    <xf numFmtId="44" fontId="0" fillId="3" borderId="0" xfId="1" applyFont="1" applyFill="1"/>
    <xf numFmtId="39" fontId="0" fillId="3" borderId="0" xfId="1" applyNumberFormat="1" applyFont="1" applyFill="1"/>
    <xf numFmtId="17" fontId="0" fillId="0" borderId="0" xfId="0" applyNumberFormat="1"/>
    <xf numFmtId="44" fontId="0" fillId="0" borderId="0" xfId="1" applyFont="1"/>
    <xf numFmtId="44" fontId="0" fillId="0" borderId="0" xfId="1" applyFont="1" applyFill="1"/>
    <xf numFmtId="39" fontId="0" fillId="0" borderId="0" xfId="1" applyNumberFormat="1" applyFont="1"/>
    <xf numFmtId="39" fontId="0" fillId="0" borderId="0" xfId="0" applyNumberFormat="1"/>
    <xf numFmtId="16" fontId="0" fillId="0" borderId="0" xfId="0" applyNumberFormat="1"/>
    <xf numFmtId="12" fontId="0" fillId="0" borderId="0" xfId="1" applyNumberFormat="1" applyFont="1"/>
    <xf numFmtId="14" fontId="0" fillId="3" borderId="0" xfId="0" applyNumberFormat="1" applyFill="1"/>
    <xf numFmtId="14" fontId="0" fillId="0" borderId="0" xfId="0" applyNumberFormat="1"/>
    <xf numFmtId="44" fontId="0" fillId="0" borderId="0" xfId="0" applyNumberFormat="1"/>
    <xf numFmtId="39" fontId="0" fillId="0" borderId="0" xfId="0" applyNumberFormat="1" applyFill="1"/>
    <xf numFmtId="0" fontId="0" fillId="2" borderId="0" xfId="2" applyFont="1" applyProtection="1">
      <protection locked="0"/>
    </xf>
    <xf numFmtId="164" fontId="1" fillId="2" borderId="0" xfId="2" applyNumberFormat="1" applyProtection="1">
      <protection locked="0"/>
    </xf>
    <xf numFmtId="14" fontId="0" fillId="0" borderId="0" xfId="0" applyNumberFormat="1" applyFill="1"/>
    <xf numFmtId="164" fontId="0" fillId="0" borderId="0" xfId="1" applyNumberFormat="1" applyFont="1"/>
    <xf numFmtId="39" fontId="0" fillId="0" borderId="0" xfId="1" applyNumberFormat="1" applyFont="1" applyFill="1"/>
    <xf numFmtId="6" fontId="0" fillId="0" borderId="0" xfId="0" applyNumberFormat="1"/>
    <xf numFmtId="7" fontId="0" fillId="0" borderId="0" xfId="1" applyNumberFormat="1" applyFont="1"/>
    <xf numFmtId="4" fontId="6" fillId="0" borderId="0" xfId="0" applyNumberFormat="1" applyFont="1"/>
    <xf numFmtId="164" fontId="0" fillId="2" borderId="0" xfId="2" applyNumberFormat="1" applyFont="1" applyProtection="1">
      <protection locked="0"/>
    </xf>
    <xf numFmtId="3" fontId="0" fillId="0" borderId="0" xfId="0" applyNumberFormat="1"/>
    <xf numFmtId="14" fontId="0" fillId="4" borderId="0" xfId="0" applyNumberFormat="1" applyFill="1"/>
    <xf numFmtId="44" fontId="0" fillId="4" borderId="0" xfId="1" applyFont="1" applyFill="1"/>
    <xf numFmtId="7" fontId="0" fillId="4" borderId="0" xfId="1" applyNumberFormat="1" applyFont="1" applyFill="1"/>
    <xf numFmtId="39" fontId="0" fillId="4" borderId="0" xfId="1" applyNumberFormat="1" applyFont="1" applyFill="1"/>
    <xf numFmtId="39" fontId="0" fillId="4" borderId="0" xfId="0" applyNumberFormat="1" applyFill="1"/>
    <xf numFmtId="0" fontId="0" fillId="4" borderId="0" xfId="0" applyFill="1"/>
  </cellXfs>
  <cellStyles count="3">
    <cellStyle name="20% - Accent1" xfId="2" builtinId="30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50"/>
  <sheetViews>
    <sheetView tabSelected="1" topLeftCell="A13" workbookViewId="0">
      <selection activeCell="E21" sqref="E21"/>
    </sheetView>
  </sheetViews>
  <sheetFormatPr defaultRowHeight="15" x14ac:dyDescent="0.25"/>
  <cols>
    <col min="1" max="1" width="22.7109375" customWidth="1"/>
    <col min="2" max="2" width="16.5703125" customWidth="1"/>
    <col min="3" max="3" width="20" customWidth="1"/>
    <col min="4" max="4" width="17.140625" customWidth="1"/>
    <col min="5" max="5" width="15.140625" customWidth="1"/>
    <col min="6" max="6" width="15.7109375" customWidth="1"/>
    <col min="7" max="7" width="15.28515625" customWidth="1"/>
    <col min="8" max="8" width="13.5703125" customWidth="1"/>
    <col min="9" max="9" width="14.28515625" customWidth="1"/>
    <col min="10" max="10" width="17" customWidth="1"/>
    <col min="11" max="11" width="15" customWidth="1"/>
    <col min="12" max="12" width="25.5703125" customWidth="1"/>
    <col min="13" max="13" width="13.42578125" bestFit="1" customWidth="1"/>
    <col min="14" max="14" width="12.5703125" bestFit="1" customWidth="1"/>
    <col min="15" max="15" width="15.85546875" customWidth="1"/>
  </cols>
  <sheetData>
    <row r="1" spans="1:17" x14ac:dyDescent="0.25">
      <c r="A1" s="12"/>
      <c r="B1" s="13"/>
      <c r="C1" s="13"/>
      <c r="D1" s="5"/>
      <c r="E1" s="6"/>
      <c r="F1" s="5"/>
      <c r="G1" s="5"/>
      <c r="H1" s="5"/>
      <c r="I1" s="7"/>
      <c r="J1" s="7"/>
      <c r="K1" s="14"/>
      <c r="N1" s="15" t="s">
        <v>20</v>
      </c>
      <c r="O1">
        <v>89.04</v>
      </c>
      <c r="P1">
        <v>89.04</v>
      </c>
      <c r="Q1" s="23" t="s">
        <v>46</v>
      </c>
    </row>
    <row r="2" spans="1:17" x14ac:dyDescent="0.25">
      <c r="A2" s="12" t="s">
        <v>33</v>
      </c>
      <c r="B2" s="5"/>
      <c r="C2" s="5"/>
      <c r="D2" s="5"/>
      <c r="E2" s="5"/>
      <c r="F2" s="5"/>
      <c r="G2" s="5"/>
      <c r="H2" s="5"/>
      <c r="I2" s="5"/>
      <c r="J2" s="7"/>
      <c r="K2" s="8"/>
      <c r="N2" s="15" t="s">
        <v>21</v>
      </c>
      <c r="O2">
        <v>56.9</v>
      </c>
      <c r="P2">
        <v>56.9</v>
      </c>
      <c r="Q2" s="16"/>
    </row>
    <row r="3" spans="1:17" x14ac:dyDescent="0.25">
      <c r="A3" s="17" t="s">
        <v>36</v>
      </c>
      <c r="B3" s="6"/>
      <c r="C3" s="6"/>
      <c r="D3" s="6"/>
      <c r="E3" s="5"/>
      <c r="F3" s="5"/>
      <c r="G3" s="6"/>
      <c r="H3" s="5"/>
      <c r="I3" s="18"/>
      <c r="J3" s="19"/>
      <c r="K3" s="8"/>
      <c r="N3" s="15" t="s">
        <v>22</v>
      </c>
      <c r="O3">
        <v>80.62</v>
      </c>
      <c r="P3">
        <v>80.62</v>
      </c>
      <c r="Q3" s="16"/>
    </row>
    <row r="4" spans="1:17" x14ac:dyDescent="0.25">
      <c r="A4" s="17" t="s">
        <v>34</v>
      </c>
      <c r="B4" s="6"/>
      <c r="C4" s="6"/>
      <c r="D4" s="6"/>
      <c r="E4" s="5"/>
      <c r="F4" s="5"/>
      <c r="G4" s="6"/>
      <c r="H4" s="5"/>
      <c r="I4" s="18"/>
      <c r="J4" s="19"/>
      <c r="K4" s="8"/>
      <c r="N4" s="15" t="s">
        <v>23</v>
      </c>
      <c r="O4">
        <v>83.62</v>
      </c>
      <c r="P4">
        <v>83.62</v>
      </c>
      <c r="Q4" s="16"/>
    </row>
    <row r="5" spans="1:17" x14ac:dyDescent="0.25">
      <c r="A5" s="17" t="s">
        <v>42</v>
      </c>
      <c r="B5" s="6"/>
      <c r="C5" s="6"/>
      <c r="D5" s="6"/>
      <c r="E5" s="5"/>
      <c r="F5" s="5"/>
      <c r="G5" s="6"/>
      <c r="H5" s="5"/>
      <c r="I5" s="18"/>
      <c r="J5" s="19"/>
      <c r="K5" s="8"/>
      <c r="N5" s="15" t="s">
        <v>24</v>
      </c>
      <c r="O5">
        <v>91.25</v>
      </c>
      <c r="P5">
        <v>91.25</v>
      </c>
      <c r="Q5" s="16"/>
    </row>
    <row r="6" spans="1:17" x14ac:dyDescent="0.25">
      <c r="A6" s="17" t="s">
        <v>45</v>
      </c>
      <c r="B6" s="6"/>
      <c r="C6" s="6"/>
      <c r="D6" s="6"/>
      <c r="E6" s="5"/>
      <c r="F6" s="5"/>
      <c r="G6" s="6"/>
      <c r="H6" s="5"/>
      <c r="I6" s="18"/>
      <c r="J6" s="19"/>
      <c r="K6" s="8"/>
      <c r="N6" s="15" t="s">
        <v>25</v>
      </c>
      <c r="Q6" s="16"/>
    </row>
    <row r="7" spans="1:17" x14ac:dyDescent="0.25">
      <c r="A7" s="17"/>
      <c r="B7" s="5"/>
      <c r="C7" s="5"/>
      <c r="D7" s="5"/>
      <c r="E7" s="5"/>
      <c r="F7" s="5"/>
      <c r="G7" s="5"/>
      <c r="H7" s="5"/>
      <c r="I7" s="5"/>
      <c r="J7" s="7"/>
      <c r="K7" s="8"/>
      <c r="N7" s="15" t="s">
        <v>26</v>
      </c>
      <c r="O7">
        <v>56.57</v>
      </c>
      <c r="P7">
        <v>56.57</v>
      </c>
      <c r="Q7" s="16"/>
    </row>
    <row r="8" spans="1:17" x14ac:dyDescent="0.25">
      <c r="B8" s="5"/>
      <c r="C8" s="5"/>
      <c r="D8" s="5"/>
      <c r="E8" s="5"/>
      <c r="F8" s="5"/>
      <c r="G8" s="5"/>
      <c r="H8" s="5"/>
      <c r="I8" s="5"/>
      <c r="J8" s="7"/>
      <c r="K8" s="8"/>
      <c r="N8" s="15" t="s">
        <v>27</v>
      </c>
      <c r="Q8" s="16"/>
    </row>
    <row r="9" spans="1:17" x14ac:dyDescent="0.25">
      <c r="A9" s="1" t="s">
        <v>37</v>
      </c>
      <c r="B9" s="2" t="s">
        <v>0</v>
      </c>
      <c r="C9" s="2" t="s">
        <v>35</v>
      </c>
      <c r="D9" s="2" t="s">
        <v>1</v>
      </c>
      <c r="E9" s="2" t="s">
        <v>2</v>
      </c>
      <c r="F9" s="2" t="s">
        <v>44</v>
      </c>
      <c r="G9" s="2" t="s">
        <v>3</v>
      </c>
      <c r="H9" s="2" t="s">
        <v>4</v>
      </c>
      <c r="I9" s="2" t="s">
        <v>5</v>
      </c>
      <c r="J9" s="3" t="s">
        <v>6</v>
      </c>
      <c r="K9" s="3" t="s">
        <v>7</v>
      </c>
      <c r="N9" s="15" t="s">
        <v>28</v>
      </c>
      <c r="Q9" s="16"/>
    </row>
    <row r="10" spans="1:17" x14ac:dyDescent="0.25">
      <c r="A10" s="1"/>
      <c r="B10" s="2"/>
      <c r="C10" s="2"/>
      <c r="D10" s="2" t="s">
        <v>8</v>
      </c>
      <c r="E10" s="2"/>
      <c r="F10" s="2"/>
      <c r="G10" s="2"/>
      <c r="H10" s="2"/>
      <c r="I10" s="2"/>
      <c r="J10" s="3"/>
      <c r="K10" s="3"/>
      <c r="N10" s="15"/>
    </row>
    <row r="11" spans="1:17" x14ac:dyDescent="0.25">
      <c r="A11" s="1" t="s">
        <v>47</v>
      </c>
      <c r="B11" s="2">
        <v>-2279.44</v>
      </c>
      <c r="C11" s="2"/>
      <c r="E11" s="2"/>
      <c r="F11" s="2">
        <v>-2595.1799999999998</v>
      </c>
      <c r="G11" s="2"/>
      <c r="H11" s="2">
        <v>-38297.300000000003</v>
      </c>
      <c r="I11" s="2">
        <v>-62683.199999999997</v>
      </c>
      <c r="J11" s="3">
        <v>235178.85</v>
      </c>
      <c r="K11" s="3">
        <f>SUM(B11:J11)</f>
        <v>129323.73000000001</v>
      </c>
      <c r="N11" s="15" t="s">
        <v>29</v>
      </c>
      <c r="O11">
        <v>85.1</v>
      </c>
      <c r="P11">
        <v>85.1</v>
      </c>
      <c r="Q11" s="16"/>
    </row>
    <row r="12" spans="1:17" x14ac:dyDescent="0.25">
      <c r="A12" s="4" t="s">
        <v>9</v>
      </c>
      <c r="B12" s="5"/>
      <c r="C12" s="5"/>
      <c r="D12" s="5"/>
      <c r="E12" s="6"/>
      <c r="F12" s="5"/>
      <c r="G12" s="5"/>
      <c r="H12" s="5"/>
      <c r="I12" s="21"/>
      <c r="J12" s="7"/>
      <c r="K12" s="8">
        <f t="shared" ref="K12:K25" si="0">SUM(B12,C12,D12,E12,F12,H12,I12,J12)</f>
        <v>0</v>
      </c>
      <c r="N12" s="15" t="s">
        <v>30</v>
      </c>
      <c r="O12" s="16">
        <v>44.13</v>
      </c>
    </row>
    <row r="13" spans="1:17" x14ac:dyDescent="0.25">
      <c r="A13" s="4" t="s">
        <v>10</v>
      </c>
      <c r="B13" s="5"/>
      <c r="C13" s="5"/>
      <c r="D13" s="5"/>
      <c r="E13" s="6"/>
      <c r="F13" s="5"/>
      <c r="G13" s="5"/>
      <c r="H13" s="5"/>
      <c r="I13" s="21"/>
      <c r="J13" s="7"/>
      <c r="K13" s="8">
        <f t="shared" si="0"/>
        <v>0</v>
      </c>
      <c r="N13" t="s">
        <v>31</v>
      </c>
      <c r="O13" s="20">
        <v>21800</v>
      </c>
    </row>
    <row r="14" spans="1:17" x14ac:dyDescent="0.25">
      <c r="A14" s="9" t="s">
        <v>11</v>
      </c>
      <c r="B14" s="5"/>
      <c r="C14" s="5"/>
      <c r="D14" s="5"/>
      <c r="E14" s="5"/>
      <c r="F14" s="5"/>
      <c r="G14" s="5"/>
      <c r="H14" s="5"/>
      <c r="I14" s="21"/>
      <c r="J14" s="7"/>
      <c r="K14" s="8">
        <f t="shared" si="0"/>
        <v>0</v>
      </c>
      <c r="N14" s="20" t="s">
        <v>32</v>
      </c>
      <c r="O14" s="16">
        <v>31100</v>
      </c>
    </row>
    <row r="15" spans="1:17" x14ac:dyDescent="0.25">
      <c r="A15" s="9" t="s">
        <v>12</v>
      </c>
      <c r="B15" s="5"/>
      <c r="C15" s="5"/>
      <c r="D15" s="5"/>
      <c r="E15" s="5"/>
      <c r="F15" s="5"/>
      <c r="G15" s="5"/>
      <c r="H15" s="5"/>
      <c r="I15" s="21"/>
      <c r="J15" s="7"/>
      <c r="K15" s="8">
        <f t="shared" si="0"/>
        <v>0</v>
      </c>
    </row>
    <row r="16" spans="1:17" x14ac:dyDescent="0.25">
      <c r="A16" t="s">
        <v>13</v>
      </c>
      <c r="B16" s="5"/>
      <c r="C16" s="5"/>
      <c r="D16" s="5"/>
      <c r="E16" s="5"/>
      <c r="F16" s="5"/>
      <c r="G16" s="5"/>
      <c r="H16" s="5"/>
      <c r="I16" s="21"/>
      <c r="J16" s="7"/>
      <c r="K16" s="8">
        <f t="shared" si="0"/>
        <v>0</v>
      </c>
    </row>
    <row r="17" spans="1:16" x14ac:dyDescent="0.25">
      <c r="A17" t="s">
        <v>14</v>
      </c>
      <c r="B17" s="5"/>
      <c r="C17" s="5"/>
      <c r="D17" s="5"/>
      <c r="E17" s="10"/>
      <c r="F17" s="5"/>
      <c r="G17" s="5"/>
      <c r="H17" s="5"/>
      <c r="I17" s="21"/>
      <c r="J17" s="7"/>
      <c r="K17" s="8">
        <f t="shared" si="0"/>
        <v>0</v>
      </c>
    </row>
    <row r="18" spans="1:16" x14ac:dyDescent="0.25">
      <c r="A18" t="s">
        <v>15</v>
      </c>
      <c r="B18" s="5">
        <v>0</v>
      </c>
      <c r="C18" s="5"/>
      <c r="D18" s="5">
        <v>0</v>
      </c>
      <c r="E18" s="5"/>
      <c r="F18" s="5">
        <f t="shared" ref="F18:F20" si="1">SUM(B18:E18)*0.53</f>
        <v>0</v>
      </c>
      <c r="G18" s="5">
        <v>0</v>
      </c>
      <c r="H18" s="5">
        <v>0</v>
      </c>
      <c r="I18" s="21">
        <v>0</v>
      </c>
      <c r="J18" s="7"/>
      <c r="K18" s="8">
        <f t="shared" si="0"/>
        <v>0</v>
      </c>
    </row>
    <row r="19" spans="1:16" x14ac:dyDescent="0.25">
      <c r="A19" t="s">
        <v>16</v>
      </c>
      <c r="B19" s="5">
        <v>0</v>
      </c>
      <c r="C19" s="5"/>
      <c r="D19" s="5">
        <v>0</v>
      </c>
      <c r="E19" s="5"/>
      <c r="F19" s="5">
        <f t="shared" si="1"/>
        <v>0</v>
      </c>
      <c r="G19" s="5">
        <v>0</v>
      </c>
      <c r="H19" s="5">
        <v>0</v>
      </c>
      <c r="I19" s="21">
        <v>0</v>
      </c>
      <c r="J19" s="7"/>
      <c r="K19" s="8">
        <f t="shared" si="0"/>
        <v>0</v>
      </c>
    </row>
    <row r="20" spans="1:16" x14ac:dyDescent="0.25">
      <c r="A20" t="s">
        <v>17</v>
      </c>
      <c r="B20" s="5">
        <v>0</v>
      </c>
      <c r="C20" s="5"/>
      <c r="D20" s="5">
        <v>0</v>
      </c>
      <c r="E20" s="5"/>
      <c r="F20" s="5">
        <f t="shared" si="1"/>
        <v>0</v>
      </c>
      <c r="G20" s="5">
        <v>4000</v>
      </c>
      <c r="H20" s="5">
        <v>0</v>
      </c>
      <c r="I20" s="21">
        <v>0</v>
      </c>
      <c r="J20" s="7"/>
      <c r="K20" s="8">
        <f t="shared" si="0"/>
        <v>0</v>
      </c>
      <c r="M20" t="s">
        <v>50</v>
      </c>
    </row>
    <row r="21" spans="1:16" x14ac:dyDescent="0.25">
      <c r="A21" t="s">
        <v>18</v>
      </c>
      <c r="B21" s="5">
        <f>-53*O2</f>
        <v>-3015.7</v>
      </c>
      <c r="C21" s="5"/>
      <c r="D21" s="5">
        <f>-53*P1</f>
        <v>-4719.12</v>
      </c>
      <c r="E21" s="5">
        <f>-53*O4</f>
        <v>-4431.8600000000006</v>
      </c>
      <c r="F21" s="5">
        <f>SUM(B21:E21)*0.5715</f>
        <v>-6953.2576200000003</v>
      </c>
      <c r="G21" s="5">
        <v>3000</v>
      </c>
      <c r="H21" s="5">
        <f t="shared" ref="H21:H24" si="2">SUM(B21:F21,I21)*0.51</f>
        <v>-11414.987086200001</v>
      </c>
      <c r="I21" s="21">
        <f>-2500-762.39</f>
        <v>-3262.39</v>
      </c>
      <c r="J21" s="7"/>
      <c r="K21" s="8">
        <f t="shared" si="0"/>
        <v>-33797.314706199999</v>
      </c>
      <c r="M21" s="13">
        <f>SUM(B21,D21,E21,F21,H21,I21)</f>
        <v>-33797.314706199999</v>
      </c>
      <c r="N21" s="13">
        <f>K11+M21</f>
        <v>95526.415293800004</v>
      </c>
      <c r="O21">
        <f>640+640+80+80</f>
        <v>1440</v>
      </c>
    </row>
    <row r="22" spans="1:16" x14ac:dyDescent="0.25">
      <c r="A22" t="s">
        <v>19</v>
      </c>
      <c r="B22" s="5">
        <f>-53*O2</f>
        <v>-3015.7</v>
      </c>
      <c r="C22" s="5"/>
      <c r="D22" s="5">
        <f>-53*P1</f>
        <v>-4719.12</v>
      </c>
      <c r="E22" s="5">
        <f>-50*O7</f>
        <v>-2828.5</v>
      </c>
      <c r="F22" s="5">
        <f>SUM(B22:E22)*0.5715</f>
        <v>-6036.9373800000003</v>
      </c>
      <c r="G22" s="5">
        <v>3000</v>
      </c>
      <c r="H22" s="5">
        <f t="shared" si="2"/>
        <v>-9741.1312637999999</v>
      </c>
      <c r="I22" s="21">
        <v>-2500</v>
      </c>
      <c r="J22" s="7"/>
      <c r="K22" s="8">
        <f t="shared" si="0"/>
        <v>-28841.388643799997</v>
      </c>
      <c r="M22" s="13">
        <f>SUM(B22,D22,E22,F22,H22,I22)</f>
        <v>-28841.388643799997</v>
      </c>
      <c r="N22" s="13">
        <f>SUM(N21,M22,I28)</f>
        <v>10685.026650000014</v>
      </c>
    </row>
    <row r="23" spans="1:16" x14ac:dyDescent="0.25">
      <c r="A23" s="4" t="s">
        <v>43</v>
      </c>
      <c r="B23" s="5">
        <f>-53*O2</f>
        <v>-3015.7</v>
      </c>
      <c r="C23" s="5"/>
      <c r="D23" s="5">
        <f>-53*P1</f>
        <v>-4719.12</v>
      </c>
      <c r="E23" s="5">
        <f>-50*O7</f>
        <v>-2828.5</v>
      </c>
      <c r="F23" s="5">
        <f>SUM(B23:E23)*0.5715</f>
        <v>-6036.9373800000003</v>
      </c>
      <c r="G23" s="5">
        <v>3000</v>
      </c>
      <c r="H23" s="5">
        <f t="shared" si="2"/>
        <v>-9741.1312637999999</v>
      </c>
      <c r="I23" s="21">
        <v>-2500</v>
      </c>
      <c r="J23" s="7">
        <v>-1</v>
      </c>
      <c r="K23" s="8">
        <f t="shared" si="0"/>
        <v>-28842.388643799997</v>
      </c>
      <c r="M23" s="13">
        <f>SUM(B23,D23,E23,F23,H23,I23,J23)</f>
        <v>-28842.388643799997</v>
      </c>
      <c r="N23" s="13">
        <f>SUM(N22,M23)</f>
        <v>-18157.361993799983</v>
      </c>
    </row>
    <row r="24" spans="1:16" x14ac:dyDescent="0.25">
      <c r="A24" s="4">
        <v>44197</v>
      </c>
      <c r="B24" s="5">
        <f>-53*O2</f>
        <v>-3015.7</v>
      </c>
      <c r="C24" s="5"/>
      <c r="D24" s="5">
        <f>-53*P1</f>
        <v>-4719.12</v>
      </c>
      <c r="E24">
        <f>-20*O7</f>
        <v>-1131.4000000000001</v>
      </c>
      <c r="F24" s="5">
        <f>SUM(B24:E24)*0.5715</f>
        <v>-5067.0447299999996</v>
      </c>
      <c r="G24" s="5">
        <v>3000</v>
      </c>
      <c r="H24" s="5">
        <f t="shared" si="2"/>
        <v>-8380.9650122999992</v>
      </c>
      <c r="I24" s="21">
        <v>-2500</v>
      </c>
      <c r="J24" s="7"/>
      <c r="K24" s="8">
        <f t="shared" si="0"/>
        <v>-24814.229742299998</v>
      </c>
      <c r="M24" s="13">
        <f>SUM(B24,D24,E24,F24,H24,I24)</f>
        <v>-24814.229742299998</v>
      </c>
      <c r="N24" s="13">
        <f>SUM(N23,M24)</f>
        <v>-42971.591736099981</v>
      </c>
      <c r="O24">
        <f>2080-10*8-6*40</f>
        <v>1760</v>
      </c>
      <c r="P24" t="s">
        <v>49</v>
      </c>
    </row>
    <row r="25" spans="1:16" x14ac:dyDescent="0.25">
      <c r="A25" s="4">
        <v>44228</v>
      </c>
      <c r="B25" s="5">
        <f>-53*O2</f>
        <v>-3015.7</v>
      </c>
      <c r="C25" s="5"/>
      <c r="D25" s="5">
        <f>-53*P1</f>
        <v>-4719.12</v>
      </c>
      <c r="E25" s="5"/>
      <c r="F25" s="5">
        <f>SUM(B25:E25)*0.5715</f>
        <v>-4420.4496300000001</v>
      </c>
      <c r="G25" s="5">
        <v>3000</v>
      </c>
      <c r="H25" s="5">
        <f>SUM(B25:F25,I25)*0.51</f>
        <v>-7474.1875112999996</v>
      </c>
      <c r="I25" s="21">
        <v>-2500</v>
      </c>
      <c r="J25" s="7">
        <v>-21800</v>
      </c>
      <c r="K25" s="8">
        <f t="shared" si="0"/>
        <v>-43929.457141299994</v>
      </c>
      <c r="M25" s="13">
        <f>SUM(B25,D25,E25,F25,H25,I25,J25)</f>
        <v>-43929.457141299994</v>
      </c>
      <c r="N25" s="13">
        <f>SUM(N24,M25)</f>
        <v>-86901.048877399968</v>
      </c>
    </row>
    <row r="26" spans="1:16" x14ac:dyDescent="0.25">
      <c r="A26" s="4" t="s">
        <v>39</v>
      </c>
      <c r="B26" s="5">
        <f>SUM(B12:E25)</f>
        <v>-49894.36</v>
      </c>
      <c r="C26" s="5"/>
      <c r="D26" s="5"/>
      <c r="E26" s="5"/>
      <c r="F26" s="5">
        <f>SUM(F12:F25)</f>
        <v>-28514.626739999996</v>
      </c>
      <c r="G26" s="5">
        <f>SUM(G12:G25)</f>
        <v>19000</v>
      </c>
      <c r="H26" s="5">
        <f>SUM(H12:H25)</f>
        <v>-46752.4021374</v>
      </c>
      <c r="I26" s="21">
        <f>SUM(I12:I25)</f>
        <v>-13262.39</v>
      </c>
      <c r="J26" s="7">
        <f>SUM(J12:J25)</f>
        <v>-21801</v>
      </c>
      <c r="K26" s="8">
        <f>SUM(B26:F26,H26,I26, J26)</f>
        <v>-160224.77887739998</v>
      </c>
      <c r="M26" s="13">
        <f>SUM(M21:M25)</f>
        <v>-160224.77887739998</v>
      </c>
      <c r="N26" s="13"/>
    </row>
    <row r="27" spans="1:16" x14ac:dyDescent="0.25">
      <c r="A27" s="4"/>
      <c r="B27" s="5"/>
      <c r="C27" s="5"/>
      <c r="D27" s="5"/>
      <c r="E27" s="5"/>
      <c r="F27" s="5"/>
      <c r="G27" s="5"/>
      <c r="H27" s="5"/>
      <c r="I27" s="21"/>
      <c r="J27" s="7"/>
      <c r="K27" s="8">
        <f>SUM(K11,K26)+I28+I29</f>
        <v>-123901.04887739997</v>
      </c>
      <c r="L27" t="s">
        <v>40</v>
      </c>
    </row>
    <row r="28" spans="1:16" x14ac:dyDescent="0.25">
      <c r="A28" s="4" t="s">
        <v>51</v>
      </c>
      <c r="B28" s="5"/>
      <c r="C28" s="5"/>
      <c r="D28" s="5"/>
      <c r="E28" s="5"/>
      <c r="F28" s="5"/>
      <c r="G28" s="5"/>
      <c r="H28" s="5"/>
      <c r="I28" s="21">
        <v>-56000</v>
      </c>
      <c r="J28" s="7"/>
      <c r="K28" s="8">
        <f>SUM(G26,K27,G42)</f>
        <v>55344.951122600032</v>
      </c>
      <c r="L28" t="s">
        <v>41</v>
      </c>
    </row>
    <row r="29" spans="1:16" x14ac:dyDescent="0.25">
      <c r="A29" s="4" t="s">
        <v>52</v>
      </c>
      <c r="B29" s="5"/>
      <c r="C29" s="5"/>
      <c r="D29" s="5"/>
      <c r="E29" s="5"/>
      <c r="F29" s="5"/>
      <c r="G29" s="5"/>
      <c r="H29" s="5"/>
      <c r="I29" s="21">
        <v>-37000</v>
      </c>
      <c r="J29" s="7"/>
      <c r="K29" s="8"/>
    </row>
    <row r="30" spans="1:16" x14ac:dyDescent="0.25">
      <c r="A30" s="4"/>
      <c r="B30" s="5"/>
      <c r="C30" s="5"/>
      <c r="D30" s="5"/>
      <c r="E30" s="5"/>
      <c r="F30" s="5"/>
      <c r="G30" s="5"/>
      <c r="H30" s="5"/>
      <c r="I30" s="21"/>
      <c r="K30" s="8"/>
    </row>
    <row r="31" spans="1:16" x14ac:dyDescent="0.25">
      <c r="A31" s="4"/>
      <c r="B31" s="5"/>
      <c r="C31" s="5"/>
      <c r="D31" s="5"/>
      <c r="E31" s="5"/>
      <c r="F31" s="5"/>
      <c r="G31" s="5"/>
      <c r="H31" s="5"/>
      <c r="I31" s="21"/>
      <c r="J31" s="7"/>
      <c r="K31" s="8"/>
    </row>
    <row r="32" spans="1:16" x14ac:dyDescent="0.25">
      <c r="A32" s="4"/>
      <c r="B32" s="5"/>
      <c r="C32" s="5"/>
      <c r="D32" s="5"/>
      <c r="E32" s="5"/>
      <c r="F32" s="5"/>
      <c r="G32" s="5"/>
      <c r="H32" s="5"/>
      <c r="I32" s="21"/>
      <c r="J32" s="7"/>
      <c r="K32" s="8"/>
    </row>
    <row r="33" spans="1:15" x14ac:dyDescent="0.25">
      <c r="A33" s="4"/>
      <c r="B33" s="5"/>
      <c r="C33" s="5"/>
      <c r="D33" s="5"/>
      <c r="E33" s="5"/>
      <c r="F33" s="5"/>
      <c r="G33" s="5"/>
      <c r="H33" s="5"/>
      <c r="I33" s="21"/>
      <c r="J33" s="7"/>
      <c r="K33" s="8"/>
    </row>
    <row r="34" spans="1:15" x14ac:dyDescent="0.25">
      <c r="A34" s="4"/>
      <c r="B34" s="5"/>
      <c r="C34" s="5"/>
      <c r="D34" s="5"/>
      <c r="E34" s="5"/>
      <c r="F34" s="5"/>
      <c r="G34" s="5"/>
      <c r="H34" s="5"/>
      <c r="I34" s="21"/>
      <c r="J34" s="7"/>
      <c r="K34" s="8"/>
    </row>
    <row r="35" spans="1:15" x14ac:dyDescent="0.25">
      <c r="A35" s="4"/>
      <c r="B35" s="5"/>
      <c r="C35" s="5"/>
      <c r="D35" s="5"/>
      <c r="E35" s="5"/>
      <c r="F35" s="5"/>
      <c r="G35" s="5"/>
      <c r="H35" s="5"/>
      <c r="I35" s="21"/>
      <c r="K35" s="8"/>
      <c r="O35" s="24"/>
    </row>
    <row r="36" spans="1:15" x14ac:dyDescent="0.25">
      <c r="A36" s="4"/>
      <c r="B36" s="5"/>
      <c r="C36" s="5"/>
      <c r="D36" s="5"/>
      <c r="E36" s="5"/>
      <c r="F36" s="5"/>
      <c r="G36" s="5"/>
      <c r="H36" s="5"/>
      <c r="I36" s="21"/>
      <c r="J36" s="7"/>
      <c r="K36" s="8"/>
    </row>
    <row r="37" spans="1:15" x14ac:dyDescent="0.25">
      <c r="A37" s="4"/>
      <c r="B37" s="5"/>
      <c r="C37" s="5"/>
      <c r="D37" s="5"/>
      <c r="E37" s="5"/>
      <c r="F37" s="5"/>
      <c r="G37" s="5"/>
      <c r="H37" s="5"/>
      <c r="I37" s="21"/>
      <c r="J37" s="7">
        <f>688.84+15+688.84*0.085</f>
        <v>762.39140000000009</v>
      </c>
      <c r="K37" s="8"/>
    </row>
    <row r="38" spans="1:15" x14ac:dyDescent="0.25">
      <c r="A38" s="4"/>
      <c r="B38" s="5"/>
      <c r="C38" s="5"/>
      <c r="D38" s="5"/>
      <c r="E38" s="5"/>
      <c r="F38" s="5"/>
      <c r="G38" s="5"/>
      <c r="H38" s="5"/>
      <c r="I38" s="21"/>
      <c r="J38" s="7"/>
      <c r="K38" s="8"/>
    </row>
    <row r="39" spans="1:15" x14ac:dyDescent="0.25">
      <c r="A39" s="4"/>
      <c r="B39" s="5"/>
      <c r="C39" s="5"/>
      <c r="D39" s="5"/>
      <c r="E39" s="5"/>
      <c r="F39" s="5"/>
      <c r="G39" s="5"/>
      <c r="H39" s="5"/>
      <c r="I39" s="21"/>
      <c r="J39" s="7"/>
      <c r="K39" s="8"/>
    </row>
    <row r="40" spans="1:15" s="30" customFormat="1" x14ac:dyDescent="0.25">
      <c r="A40" s="25"/>
      <c r="B40" s="26"/>
      <c r="C40" s="26"/>
      <c r="D40" s="26"/>
      <c r="E40" s="26"/>
      <c r="F40" s="26"/>
      <c r="G40" s="26"/>
      <c r="H40" s="26"/>
      <c r="I40" s="27"/>
      <c r="J40" s="28"/>
      <c r="K40" s="29"/>
      <c r="L40" s="14"/>
    </row>
    <row r="41" spans="1:15" x14ac:dyDescent="0.25">
      <c r="A41" s="11" t="s">
        <v>38</v>
      </c>
      <c r="B41" s="5"/>
      <c r="C41" s="5"/>
      <c r="D41" s="5"/>
      <c r="E41" s="5"/>
      <c r="F41" s="5"/>
      <c r="H41" s="5"/>
      <c r="I41" s="5"/>
      <c r="J41" s="7"/>
      <c r="K41" s="8"/>
    </row>
    <row r="42" spans="1:15" x14ac:dyDescent="0.25">
      <c r="A42" s="11" t="s">
        <v>48</v>
      </c>
      <c r="B42" s="5"/>
      <c r="C42" s="5"/>
      <c r="D42" s="5"/>
      <c r="E42" s="5"/>
      <c r="F42" s="5"/>
      <c r="G42" s="22">
        <v>160246</v>
      </c>
      <c r="H42" s="5"/>
      <c r="I42" s="5"/>
      <c r="J42" s="7"/>
      <c r="K42" s="8"/>
    </row>
    <row r="43" spans="1:15" x14ac:dyDescent="0.25">
      <c r="A43" s="11"/>
      <c r="B43" s="5"/>
      <c r="C43" s="5"/>
      <c r="D43" s="5"/>
      <c r="E43" s="5"/>
      <c r="F43" s="5"/>
      <c r="G43" s="22"/>
      <c r="H43" s="5"/>
      <c r="I43" s="5"/>
      <c r="J43" s="7"/>
      <c r="K43" s="8"/>
    </row>
    <row r="44" spans="1:15" x14ac:dyDescent="0.25">
      <c r="B44" s="5"/>
      <c r="C44" s="5"/>
      <c r="D44" s="5"/>
      <c r="E44" s="5"/>
      <c r="F44" s="5"/>
      <c r="G44" s="5"/>
      <c r="H44" s="5"/>
      <c r="I44" s="5"/>
      <c r="J44" s="7"/>
    </row>
    <row r="45" spans="1:15" x14ac:dyDescent="0.25">
      <c r="B45" s="5"/>
      <c r="C45" s="5"/>
      <c r="D45" s="5"/>
      <c r="E45" s="5"/>
      <c r="F45" s="5"/>
      <c r="G45" s="5"/>
      <c r="H45" s="5"/>
      <c r="I45" s="5"/>
      <c r="J45" s="7"/>
      <c r="K45" s="8"/>
    </row>
    <row r="46" spans="1:15" x14ac:dyDescent="0.25">
      <c r="B46" s="5"/>
      <c r="C46" s="5"/>
      <c r="D46" s="5"/>
      <c r="E46" s="5"/>
      <c r="F46" s="5"/>
      <c r="G46" s="5"/>
      <c r="H46" s="5"/>
      <c r="I46" s="5"/>
      <c r="J46" s="7"/>
      <c r="K46" s="8"/>
    </row>
    <row r="47" spans="1:15" x14ac:dyDescent="0.25">
      <c r="B47" s="5"/>
      <c r="C47" s="5"/>
      <c r="D47" s="5"/>
      <c r="E47" s="5"/>
      <c r="F47" s="5"/>
      <c r="G47" s="5"/>
      <c r="H47" s="5"/>
      <c r="I47" s="5"/>
      <c r="J47" s="7"/>
      <c r="K47" s="8"/>
    </row>
    <row r="48" spans="1:15" x14ac:dyDescent="0.25">
      <c r="B48" s="5"/>
      <c r="C48" s="5"/>
      <c r="D48" s="5"/>
      <c r="E48" s="5"/>
      <c r="F48" s="5"/>
      <c r="G48" s="5"/>
      <c r="H48" s="5"/>
      <c r="I48" s="5"/>
      <c r="J48" s="7"/>
      <c r="K48" s="8"/>
    </row>
    <row r="49" spans="2:11" x14ac:dyDescent="0.25">
      <c r="B49" s="5"/>
      <c r="C49" s="5"/>
      <c r="D49" s="5"/>
      <c r="E49" s="5"/>
      <c r="F49" s="5"/>
      <c r="G49" s="5"/>
      <c r="H49" s="5"/>
      <c r="I49" s="5"/>
      <c r="J49" s="7"/>
      <c r="K49" s="8"/>
    </row>
    <row r="50" spans="2:11" x14ac:dyDescent="0.25">
      <c r="B50" s="5"/>
      <c r="C50" s="5"/>
      <c r="D50" s="5"/>
      <c r="E50" s="5"/>
      <c r="F50" s="5"/>
      <c r="G50" s="5"/>
      <c r="H50" s="5"/>
      <c r="I50" s="5"/>
      <c r="J50" s="7"/>
      <c r="K50" s="8"/>
    </row>
  </sheetData>
  <pageMargins left="0.7" right="0.7" top="0.75" bottom="0.75" header="0.3" footer="0.3"/>
  <pageSetup paperSize="17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5A0329EA4676428181F97AF11AD08F" ma:contentTypeVersion="10" ma:contentTypeDescription="Create a new document." ma:contentTypeScope="" ma:versionID="f2c88749f15cf38712269b26b7f72d9c">
  <xsd:schema xmlns:xsd="http://www.w3.org/2001/XMLSchema" xmlns:xs="http://www.w3.org/2001/XMLSchema" xmlns:p="http://schemas.microsoft.com/office/2006/metadata/properties" xmlns:ns3="f5c130c8-187c-4e9f-bcf5-7c797d18df11" targetNamespace="http://schemas.microsoft.com/office/2006/metadata/properties" ma:root="true" ma:fieldsID="3b41c4addea60a3470085daeb25219ab" ns3:_="">
    <xsd:import namespace="f5c130c8-187c-4e9f-bcf5-7c797d18df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130c8-187c-4e9f-bcf5-7c797d18df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A233570-CB07-4F5B-9665-F0DBBE3CD5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72C7AF-E68D-48F2-BDDE-D08E833675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c130c8-187c-4e9f-bcf5-7c797d18df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93C700-B0CF-4592-BEB7-D0F240592903}">
  <ds:schemaRefs>
    <ds:schemaRef ds:uri="http://schemas.microsoft.com/office/infopath/2007/PartnerControls"/>
    <ds:schemaRef ds:uri="http://www.w3.org/XML/1998/namespace"/>
    <ds:schemaRef ds:uri="f5c130c8-187c-4e9f-bcf5-7c797d18df11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Dawe</dc:creator>
  <cp:lastModifiedBy>Craig Dawe</cp:lastModifiedBy>
  <cp:lastPrinted>2020-07-08T15:23:26Z</cp:lastPrinted>
  <dcterms:created xsi:type="dcterms:W3CDTF">2020-07-07T20:22:41Z</dcterms:created>
  <dcterms:modified xsi:type="dcterms:W3CDTF">2020-10-16T20:52:19Z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0x010100935A0329EA4676428181F97AF11AD08F</vt:lpwstr>
  </property>
</Properties>
</file>