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9" i="2" l="1"/>
  <c r="K39" i="2" s="1"/>
  <c r="E41" i="2"/>
  <c r="K41" i="2" s="1"/>
  <c r="E40" i="2"/>
  <c r="K40" i="2" s="1"/>
  <c r="E29" i="2"/>
  <c r="K29" i="2" s="1"/>
  <c r="E28" i="2"/>
  <c r="K28" i="2" s="1"/>
  <c r="F41" i="2"/>
  <c r="F40" i="2"/>
  <c r="F39" i="2"/>
  <c r="K38" i="2"/>
  <c r="F38" i="2"/>
  <c r="K37" i="2"/>
  <c r="F37" i="2"/>
  <c r="K36" i="2"/>
  <c r="F36" i="2"/>
  <c r="K35" i="2"/>
  <c r="F35" i="2"/>
  <c r="K34" i="2"/>
  <c r="F34" i="2"/>
  <c r="K33" i="2"/>
  <c r="F33" i="2"/>
  <c r="M32" i="2"/>
  <c r="L32" i="2"/>
  <c r="K30" i="2"/>
  <c r="F30" i="2"/>
  <c r="F29" i="2"/>
  <c r="F28" i="2"/>
  <c r="K27" i="2"/>
  <c r="F27" i="2"/>
  <c r="K26" i="2"/>
  <c r="F26" i="2"/>
  <c r="K25" i="2"/>
  <c r="F25" i="2"/>
  <c r="K24" i="2"/>
  <c r="F24" i="2"/>
  <c r="O23" i="2"/>
  <c r="S23" i="2" s="1"/>
  <c r="K23" i="2"/>
  <c r="G23" i="2"/>
  <c r="F23" i="2"/>
  <c r="J23" i="2" s="1"/>
  <c r="K22" i="2"/>
  <c r="F22" i="2"/>
  <c r="O21" i="2"/>
  <c r="K21" i="2"/>
  <c r="F21" i="2"/>
  <c r="M20" i="2"/>
  <c r="L20" i="2"/>
  <c r="L26" i="2" s="1"/>
  <c r="B7" i="2"/>
  <c r="G41" i="2" s="1"/>
  <c r="B6" i="2"/>
  <c r="O41" i="2" s="1"/>
  <c r="S41" i="2" s="1"/>
  <c r="B5" i="2"/>
  <c r="I37" i="2" s="1"/>
  <c r="S42" i="1"/>
  <c r="S41" i="1"/>
  <c r="S40" i="1"/>
  <c r="S39" i="1"/>
  <c r="S38" i="1"/>
  <c r="S37" i="1"/>
  <c r="S36" i="1"/>
  <c r="S35" i="1"/>
  <c r="S34" i="1"/>
  <c r="S33" i="1"/>
  <c r="S30" i="1"/>
  <c r="S29" i="1"/>
  <c r="S28" i="1"/>
  <c r="S27" i="1"/>
  <c r="S26" i="1"/>
  <c r="S25" i="1"/>
  <c r="S24" i="1"/>
  <c r="S23" i="1"/>
  <c r="S22" i="1"/>
  <c r="S21" i="1"/>
  <c r="O42" i="1"/>
  <c r="O41" i="1"/>
  <c r="O40" i="1"/>
  <c r="O39" i="1"/>
  <c r="O38" i="1"/>
  <c r="O37" i="1"/>
  <c r="O36" i="1"/>
  <c r="O35" i="1"/>
  <c r="O34" i="1"/>
  <c r="O33" i="1"/>
  <c r="O30" i="1"/>
  <c r="O29" i="1"/>
  <c r="O28" i="1"/>
  <c r="O27" i="1"/>
  <c r="O26" i="1"/>
  <c r="O25" i="1"/>
  <c r="O24" i="1"/>
  <c r="O23" i="1"/>
  <c r="O22" i="1"/>
  <c r="O21" i="1"/>
  <c r="M32" i="1"/>
  <c r="M41" i="1" s="1"/>
  <c r="L32" i="1"/>
  <c r="L42" i="1" s="1"/>
  <c r="M20" i="1"/>
  <c r="M29" i="1" s="1"/>
  <c r="L20" i="1"/>
  <c r="L30" i="1" s="1"/>
  <c r="K42" i="1"/>
  <c r="K41" i="1"/>
  <c r="K40" i="1"/>
  <c r="K39" i="1"/>
  <c r="K38" i="1"/>
  <c r="K37" i="1"/>
  <c r="K36" i="1"/>
  <c r="K35" i="1"/>
  <c r="K34" i="1"/>
  <c r="K33" i="1"/>
  <c r="K30" i="1"/>
  <c r="K29" i="1"/>
  <c r="K28" i="1"/>
  <c r="K27" i="1"/>
  <c r="K26" i="1"/>
  <c r="K25" i="1"/>
  <c r="K24" i="1"/>
  <c r="K23" i="1"/>
  <c r="K22" i="1"/>
  <c r="K21" i="1"/>
  <c r="J21" i="1"/>
  <c r="B5" i="1"/>
  <c r="I39" i="1" s="1"/>
  <c r="G42" i="1"/>
  <c r="F42" i="1"/>
  <c r="J42" i="1" s="1"/>
  <c r="G41" i="1"/>
  <c r="F41" i="1"/>
  <c r="J41" i="1" s="1"/>
  <c r="G40" i="1"/>
  <c r="F40" i="1"/>
  <c r="G39" i="1"/>
  <c r="F39" i="1"/>
  <c r="G38" i="1"/>
  <c r="F38" i="1"/>
  <c r="G37" i="1"/>
  <c r="F37" i="1"/>
  <c r="J37" i="1" s="1"/>
  <c r="G36" i="1"/>
  <c r="F36" i="1"/>
  <c r="J36" i="1" s="1"/>
  <c r="G35" i="1"/>
  <c r="F35" i="1"/>
  <c r="J35" i="1" s="1"/>
  <c r="G34" i="1"/>
  <c r="F34" i="1"/>
  <c r="J34" i="1" s="1"/>
  <c r="G33" i="1"/>
  <c r="F33" i="1"/>
  <c r="J33" i="1" s="1"/>
  <c r="G30" i="1"/>
  <c r="F30" i="1"/>
  <c r="J30" i="1" s="1"/>
  <c r="G29" i="1"/>
  <c r="F29" i="1"/>
  <c r="J29" i="1" s="1"/>
  <c r="G28" i="1"/>
  <c r="F28" i="1"/>
  <c r="J28" i="1" s="1"/>
  <c r="G27" i="1"/>
  <c r="F27" i="1"/>
  <c r="J27" i="1" s="1"/>
  <c r="G26" i="1"/>
  <c r="F26" i="1"/>
  <c r="J26" i="1" s="1"/>
  <c r="G25" i="1"/>
  <c r="F25" i="1"/>
  <c r="J25" i="1" s="1"/>
  <c r="G24" i="1"/>
  <c r="H24" i="1" s="1"/>
  <c r="F24" i="1"/>
  <c r="G23" i="1"/>
  <c r="F23" i="1"/>
  <c r="J23" i="1" s="1"/>
  <c r="G22" i="1"/>
  <c r="H22" i="1" s="1"/>
  <c r="F22" i="1"/>
  <c r="H21" i="1"/>
  <c r="G21" i="1"/>
  <c r="F21" i="1"/>
  <c r="B6" i="1"/>
  <c r="B7" i="1" s="1"/>
  <c r="E41" i="1"/>
  <c r="E40" i="1"/>
  <c r="E30" i="1"/>
  <c r="E29" i="1"/>
  <c r="E28" i="1"/>
  <c r="I21" i="1" l="1"/>
  <c r="I22" i="1"/>
  <c r="I26" i="1"/>
  <c r="I30" i="1"/>
  <c r="I36" i="1"/>
  <c r="I40" i="1"/>
  <c r="I23" i="1"/>
  <c r="I27" i="1"/>
  <c r="I33" i="1"/>
  <c r="I37" i="1"/>
  <c r="I41" i="1"/>
  <c r="I24" i="1"/>
  <c r="I28" i="1"/>
  <c r="I34" i="1"/>
  <c r="I38" i="1"/>
  <c r="I42" i="1"/>
  <c r="I25" i="1"/>
  <c r="I29" i="1"/>
  <c r="I35" i="1"/>
  <c r="M22" i="1"/>
  <c r="M24" i="1"/>
  <c r="M26" i="1"/>
  <c r="M28" i="1"/>
  <c r="M30" i="1"/>
  <c r="N30" i="1" s="1"/>
  <c r="P30" i="1" s="1"/>
  <c r="R30" i="1" s="1"/>
  <c r="M34" i="1"/>
  <c r="M36" i="1"/>
  <c r="M38" i="1"/>
  <c r="M40" i="1"/>
  <c r="M42" i="1"/>
  <c r="Q42" i="1" s="1"/>
  <c r="L21" i="1"/>
  <c r="L23" i="1"/>
  <c r="L25" i="1"/>
  <c r="L27" i="1"/>
  <c r="L29" i="1"/>
  <c r="L33" i="1"/>
  <c r="L35" i="1"/>
  <c r="L37" i="1"/>
  <c r="L39" i="1"/>
  <c r="L41" i="1"/>
  <c r="M21" i="1"/>
  <c r="M23" i="1"/>
  <c r="M25" i="1"/>
  <c r="M27" i="1"/>
  <c r="M33" i="1"/>
  <c r="M35" i="1"/>
  <c r="M37" i="1"/>
  <c r="M39" i="1"/>
  <c r="L22" i="1"/>
  <c r="L24" i="1"/>
  <c r="L26" i="1"/>
  <c r="L28" i="1"/>
  <c r="L34" i="1"/>
  <c r="L36" i="1"/>
  <c r="L38" i="1"/>
  <c r="L40" i="1"/>
  <c r="M28" i="2"/>
  <c r="L24" i="2"/>
  <c r="M37" i="2"/>
  <c r="L36" i="2"/>
  <c r="M26" i="2"/>
  <c r="H41" i="2"/>
  <c r="H23" i="2"/>
  <c r="S21" i="2"/>
  <c r="M34" i="2"/>
  <c r="M41" i="2"/>
  <c r="M23" i="2"/>
  <c r="M29" i="2"/>
  <c r="L21" i="2"/>
  <c r="L25" i="2"/>
  <c r="M27" i="2"/>
  <c r="M40" i="2"/>
  <c r="M38" i="2"/>
  <c r="M24" i="2"/>
  <c r="Q24" i="2" s="1"/>
  <c r="M30" i="2"/>
  <c r="M35" i="2"/>
  <c r="M39" i="2"/>
  <c r="J36" i="2"/>
  <c r="J41" i="2"/>
  <c r="J25" i="2"/>
  <c r="J37" i="2"/>
  <c r="Q26" i="2"/>
  <c r="I21" i="2"/>
  <c r="M21" i="2"/>
  <c r="Q21" i="2" s="1"/>
  <c r="I25" i="2"/>
  <c r="M25" i="2"/>
  <c r="G27" i="2"/>
  <c r="H27" i="2" s="1"/>
  <c r="O27" i="2"/>
  <c r="S27" i="2" s="1"/>
  <c r="G28" i="2"/>
  <c r="H28" i="2" s="1"/>
  <c r="O28" i="2"/>
  <c r="S28" i="2" s="1"/>
  <c r="G29" i="2"/>
  <c r="H29" i="2" s="1"/>
  <c r="O29" i="2"/>
  <c r="S29" i="2" s="1"/>
  <c r="G30" i="2"/>
  <c r="H30" i="2" s="1"/>
  <c r="O30" i="2"/>
  <c r="S30" i="2" s="1"/>
  <c r="G34" i="2"/>
  <c r="H34" i="2" s="1"/>
  <c r="O34" i="2"/>
  <c r="S34" i="2" s="1"/>
  <c r="L35" i="2"/>
  <c r="I36" i="2"/>
  <c r="M36" i="2"/>
  <c r="G38" i="2"/>
  <c r="H38" i="2" s="1"/>
  <c r="O38" i="2"/>
  <c r="S38" i="2" s="1"/>
  <c r="L39" i="2"/>
  <c r="L40" i="2"/>
  <c r="Q40" i="2" s="1"/>
  <c r="L41" i="2"/>
  <c r="Q41" i="2" s="1"/>
  <c r="G22" i="2"/>
  <c r="H22" i="2" s="1"/>
  <c r="O22" i="2"/>
  <c r="S22" i="2" s="1"/>
  <c r="L23" i="2"/>
  <c r="I24" i="2"/>
  <c r="G26" i="2"/>
  <c r="H26" i="2" s="1"/>
  <c r="O26" i="2"/>
  <c r="S26" i="2" s="1"/>
  <c r="L27" i="2"/>
  <c r="Q27" i="2" s="1"/>
  <c r="L28" i="2"/>
  <c r="Q28" i="2" s="1"/>
  <c r="L29" i="2"/>
  <c r="L30" i="2"/>
  <c r="Q30" i="2" s="1"/>
  <c r="G33" i="2"/>
  <c r="H33" i="2" s="1"/>
  <c r="O33" i="2"/>
  <c r="S33" i="2" s="1"/>
  <c r="L34" i="2"/>
  <c r="I35" i="2"/>
  <c r="G37" i="2"/>
  <c r="H37" i="2" s="1"/>
  <c r="O37" i="2"/>
  <c r="S37" i="2" s="1"/>
  <c r="L38" i="2"/>
  <c r="I39" i="2"/>
  <c r="I40" i="2"/>
  <c r="I41" i="2"/>
  <c r="G21" i="2"/>
  <c r="H21" i="2" s="1"/>
  <c r="L22" i="2"/>
  <c r="Q22" i="2" s="1"/>
  <c r="I23" i="2"/>
  <c r="G25" i="2"/>
  <c r="H25" i="2" s="1"/>
  <c r="O25" i="2"/>
  <c r="S25" i="2" s="1"/>
  <c r="I27" i="2"/>
  <c r="I28" i="2"/>
  <c r="I29" i="2"/>
  <c r="I30" i="2"/>
  <c r="L33" i="2"/>
  <c r="I34" i="2"/>
  <c r="G36" i="2"/>
  <c r="H36" i="2" s="1"/>
  <c r="O36" i="2"/>
  <c r="S36" i="2" s="1"/>
  <c r="L37" i="2"/>
  <c r="I38" i="2"/>
  <c r="I22" i="2"/>
  <c r="M22" i="2"/>
  <c r="G24" i="2"/>
  <c r="H24" i="2" s="1"/>
  <c r="O24" i="2"/>
  <c r="S24" i="2" s="1"/>
  <c r="I26" i="2"/>
  <c r="I33" i="2"/>
  <c r="M33" i="2"/>
  <c r="G35" i="2"/>
  <c r="H35" i="2" s="1"/>
  <c r="O35" i="2"/>
  <c r="S35" i="2" s="1"/>
  <c r="G39" i="2"/>
  <c r="H39" i="2" s="1"/>
  <c r="O39" i="2"/>
  <c r="S39" i="2" s="1"/>
  <c r="G40" i="2"/>
  <c r="H40" i="2" s="1"/>
  <c r="O40" i="2"/>
  <c r="S40" i="2" s="1"/>
  <c r="J38" i="1"/>
  <c r="H40" i="1"/>
  <c r="H26" i="1"/>
  <c r="H30" i="1"/>
  <c r="H42" i="1"/>
  <c r="J39" i="1"/>
  <c r="H23" i="1"/>
  <c r="J22" i="1"/>
  <c r="J24" i="1"/>
  <c r="H25" i="1"/>
  <c r="H27" i="1"/>
  <c r="H29" i="1"/>
  <c r="H33" i="1"/>
  <c r="H37" i="1"/>
  <c r="H41" i="1"/>
  <c r="H36" i="1"/>
  <c r="H35" i="1"/>
  <c r="H38" i="1"/>
  <c r="J40" i="1"/>
  <c r="H28" i="1"/>
  <c r="H34" i="1"/>
  <c r="H39" i="1"/>
  <c r="N42" i="1" l="1"/>
  <c r="P42" i="1" s="1"/>
  <c r="R42" i="1" s="1"/>
  <c r="T42" i="1" s="1"/>
  <c r="Q30" i="1"/>
  <c r="T30" i="1" s="1"/>
  <c r="N26" i="1"/>
  <c r="P26" i="1" s="1"/>
  <c r="R26" i="1" s="1"/>
  <c r="Q26" i="1"/>
  <c r="N29" i="1"/>
  <c r="P29" i="1" s="1"/>
  <c r="R29" i="1" s="1"/>
  <c r="Q29" i="1"/>
  <c r="N21" i="1"/>
  <c r="P21" i="1" s="1"/>
  <c r="R21" i="1" s="1"/>
  <c r="Q21" i="1"/>
  <c r="Q36" i="1"/>
  <c r="N36" i="1"/>
  <c r="P36" i="1" s="1"/>
  <c r="R36" i="1" s="1"/>
  <c r="Q24" i="1"/>
  <c r="N24" i="1"/>
  <c r="P24" i="1" s="1"/>
  <c r="R24" i="1" s="1"/>
  <c r="N37" i="1"/>
  <c r="P37" i="1" s="1"/>
  <c r="R37" i="1" s="1"/>
  <c r="Q37" i="1"/>
  <c r="N27" i="1"/>
  <c r="P27" i="1" s="1"/>
  <c r="R27" i="1" s="1"/>
  <c r="Q27" i="1"/>
  <c r="Q38" i="1"/>
  <c r="N38" i="1"/>
  <c r="P38" i="1" s="1"/>
  <c r="R38" i="1" s="1"/>
  <c r="N39" i="1"/>
  <c r="P39" i="1" s="1"/>
  <c r="R39" i="1" s="1"/>
  <c r="Q39" i="1"/>
  <c r="Q34" i="1"/>
  <c r="N34" i="1"/>
  <c r="P34" i="1" s="1"/>
  <c r="R34" i="1" s="1"/>
  <c r="N22" i="1"/>
  <c r="P22" i="1" s="1"/>
  <c r="R22" i="1" s="1"/>
  <c r="Q22" i="1"/>
  <c r="N35" i="1"/>
  <c r="P35" i="1" s="1"/>
  <c r="R35" i="1" s="1"/>
  <c r="Q35" i="1"/>
  <c r="N25" i="1"/>
  <c r="P25" i="1" s="1"/>
  <c r="R25" i="1" s="1"/>
  <c r="Q25" i="1"/>
  <c r="Q40" i="1"/>
  <c r="N40" i="1"/>
  <c r="P40" i="1" s="1"/>
  <c r="R40" i="1" s="1"/>
  <c r="Q28" i="1"/>
  <c r="N28" i="1"/>
  <c r="P28" i="1" s="1"/>
  <c r="R28" i="1" s="1"/>
  <c r="N41" i="1"/>
  <c r="P41" i="1" s="1"/>
  <c r="R41" i="1" s="1"/>
  <c r="Q41" i="1"/>
  <c r="N33" i="1"/>
  <c r="P33" i="1" s="1"/>
  <c r="R33" i="1" s="1"/>
  <c r="Q33" i="1"/>
  <c r="N23" i="1"/>
  <c r="P23" i="1" s="1"/>
  <c r="R23" i="1" s="1"/>
  <c r="Q23" i="1"/>
  <c r="Q37" i="2"/>
  <c r="Q33" i="2"/>
  <c r="Q25" i="2"/>
  <c r="Q29" i="2"/>
  <c r="Q39" i="2"/>
  <c r="Q38" i="2"/>
  <c r="Q36" i="2"/>
  <c r="Q35" i="2"/>
  <c r="Q34" i="2"/>
  <c r="Q23" i="2"/>
  <c r="N37" i="2"/>
  <c r="P37" i="2" s="1"/>
  <c r="R37" i="2" s="1"/>
  <c r="T37" i="2" s="1"/>
  <c r="N25" i="2"/>
  <c r="P25" i="2" s="1"/>
  <c r="R25" i="2" s="1"/>
  <c r="T25" i="2" s="1"/>
  <c r="J26" i="2"/>
  <c r="N26" i="2" s="1"/>
  <c r="P26" i="2" s="1"/>
  <c r="R26" i="2" s="1"/>
  <c r="T26" i="2" s="1"/>
  <c r="J39" i="2"/>
  <c r="N39" i="2" s="1"/>
  <c r="P39" i="2" s="1"/>
  <c r="R39" i="2" s="1"/>
  <c r="J30" i="2"/>
  <c r="N30" i="2" s="1"/>
  <c r="P30" i="2" s="1"/>
  <c r="R30" i="2" s="1"/>
  <c r="T30" i="2" s="1"/>
  <c r="J38" i="2"/>
  <c r="N38" i="2" s="1"/>
  <c r="P38" i="2" s="1"/>
  <c r="R38" i="2" s="1"/>
  <c r="J28" i="2"/>
  <c r="N28" i="2" s="1"/>
  <c r="P28" i="2" s="1"/>
  <c r="R28" i="2" s="1"/>
  <c r="T28" i="2" s="1"/>
  <c r="N36" i="2"/>
  <c r="P36" i="2" s="1"/>
  <c r="R36" i="2" s="1"/>
  <c r="J40" i="2"/>
  <c r="N40" i="2" s="1"/>
  <c r="P40" i="2" s="1"/>
  <c r="R40" i="2" s="1"/>
  <c r="T40" i="2" s="1"/>
  <c r="J35" i="2"/>
  <c r="N35" i="2" s="1"/>
  <c r="P35" i="2" s="1"/>
  <c r="R35" i="2" s="1"/>
  <c r="T35" i="2" s="1"/>
  <c r="J24" i="2"/>
  <c r="N24" i="2" s="1"/>
  <c r="P24" i="2" s="1"/>
  <c r="R24" i="2" s="1"/>
  <c r="T24" i="2" s="1"/>
  <c r="J21" i="2"/>
  <c r="N21" i="2" s="1"/>
  <c r="P21" i="2" s="1"/>
  <c r="R21" i="2" s="1"/>
  <c r="T21" i="2" s="1"/>
  <c r="J34" i="2"/>
  <c r="N34" i="2" s="1"/>
  <c r="P34" i="2" s="1"/>
  <c r="R34" i="2" s="1"/>
  <c r="T34" i="2" s="1"/>
  <c r="J22" i="2"/>
  <c r="N22" i="2" s="1"/>
  <c r="P22" i="2" s="1"/>
  <c r="R22" i="2" s="1"/>
  <c r="T22" i="2" s="1"/>
  <c r="J29" i="2"/>
  <c r="N29" i="2" s="1"/>
  <c r="P29" i="2" s="1"/>
  <c r="R29" i="2" s="1"/>
  <c r="T29" i="2" s="1"/>
  <c r="J33" i="2"/>
  <c r="N33" i="2" s="1"/>
  <c r="P33" i="2" s="1"/>
  <c r="R33" i="2" s="1"/>
  <c r="T33" i="2" s="1"/>
  <c r="N23" i="2"/>
  <c r="P23" i="2" s="1"/>
  <c r="R23" i="2" s="1"/>
  <c r="N41" i="2"/>
  <c r="P41" i="2" s="1"/>
  <c r="R41" i="2" s="1"/>
  <c r="T41" i="2" s="1"/>
  <c r="J27" i="2"/>
  <c r="N27" i="2" s="1"/>
  <c r="P27" i="2" s="1"/>
  <c r="R27" i="2" s="1"/>
  <c r="T27" i="2" s="1"/>
  <c r="T33" i="1" l="1"/>
  <c r="T40" i="1"/>
  <c r="T34" i="1"/>
  <c r="T38" i="1"/>
  <c r="T36" i="1"/>
  <c r="T25" i="1"/>
  <c r="T22" i="1"/>
  <c r="T39" i="1"/>
  <c r="T27" i="1"/>
  <c r="T21" i="1"/>
  <c r="T26" i="1"/>
  <c r="T35" i="1"/>
  <c r="T37" i="1"/>
  <c r="T29" i="1"/>
  <c r="T28" i="1"/>
  <c r="T23" i="1"/>
  <c r="T41" i="1"/>
  <c r="T24" i="1"/>
  <c r="T39" i="2"/>
  <c r="T38" i="2"/>
  <c r="T23" i="2"/>
  <c r="T36" i="2"/>
</calcChain>
</file>

<file path=xl/sharedStrings.xml><?xml version="1.0" encoding="utf-8"?>
<sst xmlns="http://schemas.openxmlformats.org/spreadsheetml/2006/main" count="58" uniqueCount="28">
  <si>
    <t>LED</t>
  </si>
  <si>
    <t>I</t>
  </si>
  <si>
    <t>vin</t>
  </si>
  <si>
    <t>Vout</t>
  </si>
  <si>
    <t>Period(uS)</t>
  </si>
  <si>
    <t>Iout(mA)</t>
  </si>
  <si>
    <t>Iin(mA)</t>
  </si>
  <si>
    <t>Pout</t>
  </si>
  <si>
    <t>Pin</t>
  </si>
  <si>
    <t>E</t>
  </si>
  <si>
    <t>Ipeak</t>
  </si>
  <si>
    <t>J/cycle</t>
  </si>
  <si>
    <t>Pi-Pout</t>
  </si>
  <si>
    <t>Inductor E</t>
  </si>
  <si>
    <t>F</t>
  </si>
  <si>
    <t>Rl</t>
  </si>
  <si>
    <t>Rp</t>
  </si>
  <si>
    <t>Rn</t>
  </si>
  <si>
    <t>Ton</t>
  </si>
  <si>
    <t>Toff</t>
  </si>
  <si>
    <t>Energy loss in resistance</t>
  </si>
  <si>
    <t>Pi-Po-Pr</t>
  </si>
  <si>
    <t>LDO</t>
  </si>
  <si>
    <t>Vsw</t>
  </si>
  <si>
    <t>P-Pldo</t>
  </si>
  <si>
    <t>E of R's</t>
  </si>
  <si>
    <t>Eof F</t>
  </si>
  <si>
    <t>E of 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</si>
</sst>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12V</c:v>
          </c:tx>
          <c:trendline>
            <c:trendlineType val="linear"/>
            <c:dispRSqr val="0"/>
            <c:dispEq val="1"/>
            <c:trendlineLbl>
              <c:layout>
                <c:manualLayout>
                  <c:x val="-9.3837051618547676E-2"/>
                  <c:y val="5.0752405949256341E-2"/>
                </c:manualLayout>
              </c:layout>
              <c:numFmt formatCode="General" sourceLinked="0"/>
            </c:trendlineLbl>
          </c:trendline>
          <c:xVal>
            <c:numRef>
              <c:f>Sheet1!$K$21:$K$30</c:f>
              <c:numCache>
                <c:formatCode>General</c:formatCode>
                <c:ptCount val="10"/>
                <c:pt idx="0">
                  <c:v>3076.9230769230771</c:v>
                </c:pt>
                <c:pt idx="1">
                  <c:v>7142.8571428571431</c:v>
                </c:pt>
                <c:pt idx="2">
                  <c:v>11363.636363636364</c:v>
                </c:pt>
                <c:pt idx="3">
                  <c:v>15384.615384615387</c:v>
                </c:pt>
                <c:pt idx="4">
                  <c:v>19607.843137254902</c:v>
                </c:pt>
                <c:pt idx="5">
                  <c:v>23809.523809523809</c:v>
                </c:pt>
                <c:pt idx="6">
                  <c:v>28011.204481792716</c:v>
                </c:pt>
                <c:pt idx="7">
                  <c:v>32051.282051282051</c:v>
                </c:pt>
                <c:pt idx="8">
                  <c:v>36101.083032490977</c:v>
                </c:pt>
                <c:pt idx="9">
                  <c:v>41152.263374485592</c:v>
                </c:pt>
              </c:numCache>
            </c:numRef>
          </c:xVal>
          <c:yVal>
            <c:numRef>
              <c:f>Sheet1!$P$21:$P$30</c:f>
              <c:numCache>
                <c:formatCode>0.00E+00</c:formatCode>
                <c:ptCount val="10"/>
                <c:pt idx="0">
                  <c:v>8.566011286033735E-3</c:v>
                </c:pt>
                <c:pt idx="1">
                  <c:v>1.4540159921931192E-2</c:v>
                </c:pt>
                <c:pt idx="2">
                  <c:v>1.4788078346173662E-2</c:v>
                </c:pt>
                <c:pt idx="3">
                  <c:v>1.7005326075777327E-2</c:v>
                </c:pt>
                <c:pt idx="4">
                  <c:v>2.1893816444806896E-2</c:v>
                </c:pt>
                <c:pt idx="5">
                  <c:v>2.7165273699708874E-2</c:v>
                </c:pt>
                <c:pt idx="6">
                  <c:v>3.1086730954610727E-2</c:v>
                </c:pt>
                <c:pt idx="7">
                  <c:v>4.1780439853555132E-2</c:v>
                </c:pt>
                <c:pt idx="8">
                  <c:v>4.8536708822051196E-2</c:v>
                </c:pt>
                <c:pt idx="9">
                  <c:v>5.4137173397925516E-2</c:v>
                </c:pt>
              </c:numCache>
            </c:numRef>
          </c:yVal>
          <c:smooth val="0"/>
        </c:ser>
        <c:ser>
          <c:idx val="1"/>
          <c:order val="1"/>
          <c:tx>
            <c:v>14V</c:v>
          </c:tx>
          <c:trendline>
            <c:trendlineType val="linear"/>
            <c:dispRSqr val="0"/>
            <c:dispEq val="1"/>
            <c:trendlineLbl>
              <c:layout>
                <c:manualLayout>
                  <c:x val="0.1631732283464567"/>
                  <c:y val="0.15634696704578593"/>
                </c:manualLayout>
              </c:layout>
              <c:numFmt formatCode="General" sourceLinked="0"/>
            </c:trendlineLbl>
          </c:trendline>
          <c:xVal>
            <c:numRef>
              <c:f>Sheet1!$K$33:$K$42</c:f>
              <c:numCache>
                <c:formatCode>General</c:formatCode>
                <c:ptCount val="10"/>
                <c:pt idx="0">
                  <c:v>3289.4736842105267</c:v>
                </c:pt>
                <c:pt idx="1">
                  <c:v>7692.3076923076933</c:v>
                </c:pt>
                <c:pt idx="2">
                  <c:v>12195.121951219511</c:v>
                </c:pt>
                <c:pt idx="3">
                  <c:v>16556.291390728478</c:v>
                </c:pt>
                <c:pt idx="4">
                  <c:v>20833.333333333332</c:v>
                </c:pt>
                <c:pt idx="5">
                  <c:v>25641.025641025641</c:v>
                </c:pt>
                <c:pt idx="6">
                  <c:v>29411.764705882353</c:v>
                </c:pt>
                <c:pt idx="7">
                  <c:v>34364.261168384881</c:v>
                </c:pt>
                <c:pt idx="8">
                  <c:v>38759.689922480618</c:v>
                </c:pt>
                <c:pt idx="9">
                  <c:v>44247.787610619467</c:v>
                </c:pt>
              </c:numCache>
            </c:numRef>
          </c:xVal>
          <c:yVal>
            <c:numRef>
              <c:f>Sheet1!$P$33:$P$42</c:f>
              <c:numCache>
                <c:formatCode>0.00E+00</c:formatCode>
                <c:ptCount val="10"/>
                <c:pt idx="0">
                  <c:v>8.4827295184224105E-3</c:v>
                </c:pt>
                <c:pt idx="1">
                  <c:v>1.2756530793726028E-2</c:v>
                </c:pt>
                <c:pt idx="2">
                  <c:v>1.3215271206484063E-2</c:v>
                </c:pt>
                <c:pt idx="3">
                  <c:v>1.7641203559900349E-2</c:v>
                </c:pt>
                <c:pt idx="4">
                  <c:v>1.7524313144153501E-2</c:v>
                </c:pt>
                <c:pt idx="5">
                  <c:v>1.9019843272358571E-2</c:v>
                </c:pt>
                <c:pt idx="6">
                  <c:v>2.3551631608205597E-2</c:v>
                </c:pt>
                <c:pt idx="7">
                  <c:v>3.4968434020442182E-2</c:v>
                </c:pt>
                <c:pt idx="8">
                  <c:v>3.1619274319863923E-2</c:v>
                </c:pt>
                <c:pt idx="9">
                  <c:v>3.2030420051724802E-2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57504"/>
        <c:axId val="45955712"/>
      </c:scatterChart>
      <c:valAx>
        <c:axId val="459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955712"/>
        <c:crosses val="autoZero"/>
        <c:crossBetween val="midCat"/>
      </c:valAx>
      <c:valAx>
        <c:axId val="45955712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459575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12V</c:v>
          </c:tx>
          <c:trendline>
            <c:trendlineType val="linear"/>
            <c:dispRSqr val="0"/>
            <c:dispEq val="1"/>
            <c:trendlineLbl>
              <c:layout>
                <c:manualLayout>
                  <c:x val="-9.3837051618547676E-2"/>
                  <c:y val="5.0752405949256341E-2"/>
                </c:manualLayout>
              </c:layout>
              <c:numFmt formatCode="General" sourceLinked="0"/>
            </c:trendlineLbl>
          </c:trendline>
          <c:xVal>
            <c:numRef>
              <c:f>Sheet2!$K$21:$K$30</c:f>
              <c:numCache>
                <c:formatCode>General</c:formatCode>
                <c:ptCount val="10"/>
                <c:pt idx="0">
                  <c:v>6711.4093959731545</c:v>
                </c:pt>
                <c:pt idx="1">
                  <c:v>15625</c:v>
                </c:pt>
                <c:pt idx="2">
                  <c:v>24630.541871921185</c:v>
                </c:pt>
                <c:pt idx="3">
                  <c:v>33333.333333333336</c:v>
                </c:pt>
                <c:pt idx="4">
                  <c:v>42553.191489361707</c:v>
                </c:pt>
                <c:pt idx="5">
                  <c:v>51546.391752577329</c:v>
                </c:pt>
                <c:pt idx="6">
                  <c:v>60240.963855421687</c:v>
                </c:pt>
                <c:pt idx="7">
                  <c:v>76923.076923076922</c:v>
                </c:pt>
                <c:pt idx="8">
                  <c:v>80213.903743315503</c:v>
                </c:pt>
                <c:pt idx="9">
                  <c:v>90909.090909090912</c:v>
                </c:pt>
              </c:numCache>
            </c:numRef>
          </c:xVal>
          <c:yVal>
            <c:numRef>
              <c:f>Sheet2!$P$21:$P$30</c:f>
              <c:numCache>
                <c:formatCode>0.00E+00</c:formatCode>
                <c:ptCount val="10"/>
                <c:pt idx="0">
                  <c:v>1.1556635608732062E-2</c:v>
                </c:pt>
                <c:pt idx="1">
                  <c:v>2.102962008859785E-2</c:v>
                </c:pt>
                <c:pt idx="2">
                  <c:v>2.7634815593524018E-2</c:v>
                </c:pt>
                <c:pt idx="3">
                  <c:v>3.5893682588597847E-2</c:v>
                </c:pt>
                <c:pt idx="4">
                  <c:v>4.6827725141789338E-2</c:v>
                </c:pt>
                <c:pt idx="5">
                  <c:v>5.3601414547360657E-2</c:v>
                </c:pt>
                <c:pt idx="6">
                  <c:v>6.7872598251248473E-2</c:v>
                </c:pt>
                <c:pt idx="7">
                  <c:v>7.0324451819366959E-2</c:v>
                </c:pt>
                <c:pt idx="8">
                  <c:v>9.1343147829239246E-2</c:v>
                </c:pt>
                <c:pt idx="9">
                  <c:v>9.9166409861325078E-2</c:v>
                </c:pt>
              </c:numCache>
            </c:numRef>
          </c:yVal>
          <c:smooth val="0"/>
        </c:ser>
        <c:ser>
          <c:idx val="1"/>
          <c:order val="1"/>
          <c:tx>
            <c:v>14V</c:v>
          </c:tx>
          <c:trendline>
            <c:trendlineType val="linear"/>
            <c:dispRSqr val="0"/>
            <c:dispEq val="1"/>
            <c:trendlineLbl>
              <c:layout>
                <c:manualLayout>
                  <c:x val="0.1631732283464567"/>
                  <c:y val="0.15634696704578593"/>
                </c:manualLayout>
              </c:layout>
              <c:numFmt formatCode="General" sourceLinked="0"/>
            </c:trendlineLbl>
          </c:trendline>
          <c:xVal>
            <c:numRef>
              <c:f>Sheet2!$K$33:$K$42</c:f>
              <c:numCache>
                <c:formatCode>General</c:formatCode>
                <c:ptCount val="10"/>
                <c:pt idx="0">
                  <c:v>7462.686567164179</c:v>
                </c:pt>
                <c:pt idx="1">
                  <c:v>16666.666666666668</c:v>
                </c:pt>
                <c:pt idx="2">
                  <c:v>26315.789473684214</c:v>
                </c:pt>
                <c:pt idx="3">
                  <c:v>35714.285714285717</c:v>
                </c:pt>
                <c:pt idx="4">
                  <c:v>44843.04932735426</c:v>
                </c:pt>
                <c:pt idx="5">
                  <c:v>54347.826086956535</c:v>
                </c:pt>
                <c:pt idx="6">
                  <c:v>64000</c:v>
                </c:pt>
                <c:pt idx="7">
                  <c:v>74626.86567164179</c:v>
                </c:pt>
                <c:pt idx="8">
                  <c:v>83333.333333333328</c:v>
                </c:pt>
              </c:numCache>
            </c:numRef>
          </c:xVal>
          <c:yVal>
            <c:numRef>
              <c:f>Sheet2!$P$33:$P$42</c:f>
              <c:numCache>
                <c:formatCode>0.00E+00</c:formatCode>
                <c:ptCount val="10"/>
                <c:pt idx="0">
                  <c:v>1.3538309454269478E-2</c:v>
                </c:pt>
                <c:pt idx="1">
                  <c:v>2.0918682588597828E-2</c:v>
                </c:pt>
                <c:pt idx="2">
                  <c:v>2.7462103641229457E-2</c:v>
                </c:pt>
                <c:pt idx="3">
                  <c:v>3.7797254017169199E-2</c:v>
                </c:pt>
                <c:pt idx="4">
                  <c:v>5.0650184830750296E-2</c:v>
                </c:pt>
                <c:pt idx="5">
                  <c:v>5.6740421719032555E-2</c:v>
                </c:pt>
                <c:pt idx="6">
                  <c:v>6.8879682588597863E-2</c:v>
                </c:pt>
                <c:pt idx="7">
                  <c:v>8.248995124531408E-2</c:v>
                </c:pt>
                <c:pt idx="8">
                  <c:v>8.471868258859791E-2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73056"/>
        <c:axId val="53774592"/>
      </c:scatterChart>
      <c:valAx>
        <c:axId val="537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774592"/>
        <c:crosses val="autoZero"/>
        <c:crossBetween val="midCat"/>
      </c:valAx>
      <c:valAx>
        <c:axId val="53774592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53773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1</xdr:row>
      <xdr:rowOff>95250</xdr:rowOff>
    </xdr:from>
    <xdr:to>
      <xdr:col>10</xdr:col>
      <xdr:colOff>0</xdr:colOff>
      <xdr:row>15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1</xdr:row>
      <xdr:rowOff>95250</xdr:rowOff>
    </xdr:from>
    <xdr:to>
      <xdr:col>10</xdr:col>
      <xdr:colOff>0</xdr:colOff>
      <xdr:row>15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2"/>
  <sheetViews>
    <sheetView tabSelected="1" workbookViewId="0">
      <selection activeCell="G21" sqref="G21"/>
    </sheetView>
  </sheetViews>
  <sheetFormatPr defaultRowHeight="15" x14ac:dyDescent="0.25"/>
  <cols>
    <col min="5" max="5" width="11" customWidth="1"/>
    <col min="9" max="9" width="9.85546875" customWidth="1"/>
  </cols>
  <sheetData>
    <row r="3" spans="1:12" x14ac:dyDescent="0.25">
      <c r="A3" t="s">
        <v>0</v>
      </c>
      <c r="B3" s="1">
        <v>1E-4</v>
      </c>
    </row>
    <row r="4" spans="1:12" x14ac:dyDescent="0.25">
      <c r="A4" t="s">
        <v>10</v>
      </c>
      <c r="B4">
        <v>0.65800000000000003</v>
      </c>
    </row>
    <row r="5" spans="1:12" x14ac:dyDescent="0.25">
      <c r="A5" t="s">
        <v>11</v>
      </c>
      <c r="B5" s="1">
        <f>B3*B4^2/2</f>
        <v>2.1648200000000001E-5</v>
      </c>
    </row>
    <row r="6" spans="1:12" x14ac:dyDescent="0.25">
      <c r="A6" t="s">
        <v>1</v>
      </c>
      <c r="B6">
        <f>1.3/64.9</f>
        <v>2.0030816640986132E-2</v>
      </c>
    </row>
    <row r="7" spans="1:12" x14ac:dyDescent="0.25">
      <c r="A7" t="s">
        <v>0</v>
      </c>
      <c r="B7">
        <f>3.35*B6</f>
        <v>6.710323574730355E-2</v>
      </c>
    </row>
    <row r="8" spans="1:12" x14ac:dyDescent="0.25">
      <c r="A8" t="s">
        <v>15</v>
      </c>
      <c r="B8">
        <v>0.15</v>
      </c>
    </row>
    <row r="9" spans="1:12" x14ac:dyDescent="0.25">
      <c r="A9" t="s">
        <v>16</v>
      </c>
      <c r="B9">
        <v>1</v>
      </c>
    </row>
    <row r="10" spans="1:12" x14ac:dyDescent="0.25">
      <c r="A10" t="s">
        <v>17</v>
      </c>
      <c r="B10">
        <v>0.5</v>
      </c>
    </row>
    <row r="11" spans="1:12" x14ac:dyDescent="0.25">
      <c r="A11" t="s">
        <v>23</v>
      </c>
      <c r="B11">
        <v>3.45</v>
      </c>
    </row>
    <row r="16" spans="1:12" x14ac:dyDescent="0.25">
      <c r="L16" t="s">
        <v>20</v>
      </c>
    </row>
    <row r="18" spans="1:20" x14ac:dyDescent="0.25">
      <c r="L18" t="s">
        <v>18</v>
      </c>
      <c r="M18" t="s">
        <v>19</v>
      </c>
    </row>
    <row r="19" spans="1:20" x14ac:dyDescent="0.25">
      <c r="L19" s="1">
        <v>7.1999999999999997E-6</v>
      </c>
      <c r="M19" s="1">
        <v>1.5999999999999999E-5</v>
      </c>
    </row>
    <row r="20" spans="1:20" x14ac:dyDescent="0.25">
      <c r="A20" t="s">
        <v>2</v>
      </c>
      <c r="B20" t="s">
        <v>6</v>
      </c>
      <c r="C20" t="s">
        <v>3</v>
      </c>
      <c r="D20" t="s">
        <v>5</v>
      </c>
      <c r="E20" t="s">
        <v>4</v>
      </c>
      <c r="F20" t="s">
        <v>8</v>
      </c>
      <c r="G20" t="s">
        <v>7</v>
      </c>
      <c r="H20" t="s">
        <v>9</v>
      </c>
      <c r="I20" t="s">
        <v>13</v>
      </c>
      <c r="J20" t="s">
        <v>12</v>
      </c>
      <c r="K20" t="s">
        <v>14</v>
      </c>
      <c r="L20" s="1">
        <f>$B$4^2*($B$9+$B$8)*L19/3</f>
        <v>1.1949806399999999E-6</v>
      </c>
      <c r="M20" s="1">
        <f>$B$4^2*($B$9+$B$8)*M19/3</f>
        <v>2.6555125333333332E-6</v>
      </c>
      <c r="N20" t="s">
        <v>21</v>
      </c>
      <c r="O20" t="s">
        <v>22</v>
      </c>
      <c r="P20" t="s">
        <v>24</v>
      </c>
      <c r="Q20" t="s">
        <v>25</v>
      </c>
      <c r="R20" t="s">
        <v>26</v>
      </c>
      <c r="S20" t="s">
        <v>27</v>
      </c>
    </row>
    <row r="21" spans="1:20" x14ac:dyDescent="0.25">
      <c r="A21">
        <v>12</v>
      </c>
      <c r="B21">
        <v>7.46</v>
      </c>
      <c r="C21">
        <v>3.35</v>
      </c>
      <c r="D21">
        <v>0</v>
      </c>
      <c r="E21">
        <v>325</v>
      </c>
      <c r="F21">
        <f>A21*B21/1000</f>
        <v>8.9520000000000002E-2</v>
      </c>
      <c r="G21">
        <f>C21*D21/1000+$B$7</f>
        <v>6.710323574730355E-2</v>
      </c>
      <c r="H21">
        <f>G21/F21</f>
        <v>0.74958931799936934</v>
      </c>
      <c r="I21" s="1">
        <f>$B$5/E21*1000000</f>
        <v>6.6609846153846158E-2</v>
      </c>
      <c r="J21">
        <f>F21-G21</f>
        <v>2.2416764252696453E-2</v>
      </c>
      <c r="K21">
        <f>1/(E21*0.000001)</f>
        <v>3076.9230769230771</v>
      </c>
      <c r="L21" s="1">
        <f>K21*L$20</f>
        <v>3.6768635076923073E-3</v>
      </c>
      <c r="M21" s="1">
        <f>K21*M$20</f>
        <v>8.1708077948717955E-3</v>
      </c>
      <c r="N21" s="1">
        <f>J21-L21-M21</f>
        <v>1.056909295013235E-2</v>
      </c>
      <c r="O21">
        <f>($B$11-C21)*(D21/1000+$B$6)</f>
        <v>2.0030816640986149E-3</v>
      </c>
      <c r="P21" s="1">
        <f>N21-O21</f>
        <v>8.566011286033735E-3</v>
      </c>
      <c r="Q21" s="1">
        <f>(L21+M21)/F21</f>
        <v>0.13234664100272681</v>
      </c>
      <c r="R21" s="1">
        <f>P21/F21</f>
        <v>9.5688240460609197E-2</v>
      </c>
      <c r="S21">
        <f>O21/F21</f>
        <v>2.2375800537294627E-2</v>
      </c>
      <c r="T21" s="1">
        <f>Q21+R21+S21</f>
        <v>0.25041068200063066</v>
      </c>
    </row>
    <row r="22" spans="1:20" x14ac:dyDescent="0.25">
      <c r="A22">
        <v>12</v>
      </c>
      <c r="B22">
        <v>17.600000000000001</v>
      </c>
      <c r="C22">
        <v>3.35</v>
      </c>
      <c r="D22">
        <v>29</v>
      </c>
      <c r="E22">
        <v>140</v>
      </c>
      <c r="F22">
        <f t="shared" ref="F22:F42" si="0">A22*B22/1000</f>
        <v>0.21120000000000003</v>
      </c>
      <c r="G22">
        <f t="shared" ref="G22:G42" si="1">C22*D22/1000+$B$7</f>
        <v>0.16425323574730355</v>
      </c>
      <c r="H22">
        <f t="shared" ref="H22:H42" si="2">G22/F22</f>
        <v>0.77771418440958107</v>
      </c>
      <c r="I22" s="1">
        <f t="shared" ref="I22:I42" si="3">$B$5/E22*1000000</f>
        <v>0.15462999999999999</v>
      </c>
      <c r="J22">
        <f t="shared" ref="J22:J42" si="4">F22-G22</f>
        <v>4.6946764252696477E-2</v>
      </c>
      <c r="K22">
        <f t="shared" ref="K22:K42" si="5">1/(E22*0.000001)</f>
        <v>7142.8571428571431</v>
      </c>
      <c r="L22" s="1">
        <f t="shared" ref="L22:L30" si="6">K22*L$20</f>
        <v>8.5355759999999996E-3</v>
      </c>
      <c r="M22" s="1">
        <f t="shared" ref="M22:M30" si="7">K22*M$20</f>
        <v>1.8967946666666666E-2</v>
      </c>
      <c r="N22" s="1">
        <f t="shared" ref="N22:N42" si="8">J22-L22-M22</f>
        <v>1.9443241586029808E-2</v>
      </c>
      <c r="O22">
        <f t="shared" ref="O22:O30" si="9">($B$11-C22)*(D22/1000+$B$6)</f>
        <v>4.9030816640986173E-3</v>
      </c>
      <c r="P22" s="1">
        <f t="shared" ref="P22:P42" si="10">N22-O22</f>
        <v>1.4540159921931192E-2</v>
      </c>
      <c r="Q22" s="1">
        <f t="shared" ref="Q22:Q30" si="11">(L22+M22)/F22</f>
        <v>0.1302250126262626</v>
      </c>
      <c r="R22" s="1">
        <f t="shared" ref="R22:R30" si="12">P22/F22</f>
        <v>6.8845454175810561E-2</v>
      </c>
      <c r="S22">
        <f t="shared" ref="S22:S42" si="13">O22/F22</f>
        <v>2.3215348788345722E-2</v>
      </c>
      <c r="T22" s="1">
        <f t="shared" ref="T22:T42" si="14">Q22+R22+S22</f>
        <v>0.22228581559041888</v>
      </c>
    </row>
    <row r="23" spans="1:20" x14ac:dyDescent="0.25">
      <c r="A23">
        <v>12</v>
      </c>
      <c r="B23">
        <v>27.6</v>
      </c>
      <c r="C23">
        <v>3.35</v>
      </c>
      <c r="D23">
        <v>59</v>
      </c>
      <c r="E23">
        <v>88</v>
      </c>
      <c r="F23">
        <f t="shared" si="0"/>
        <v>0.33120000000000005</v>
      </c>
      <c r="G23">
        <f t="shared" si="1"/>
        <v>0.26475323574730353</v>
      </c>
      <c r="H23">
        <f t="shared" si="2"/>
        <v>0.79937571179741396</v>
      </c>
      <c r="I23" s="1">
        <f t="shared" si="3"/>
        <v>0.24600227272727274</v>
      </c>
      <c r="J23">
        <f t="shared" si="4"/>
        <v>6.6446764252696522E-2</v>
      </c>
      <c r="K23">
        <f t="shared" si="5"/>
        <v>11363.636363636364</v>
      </c>
      <c r="L23" s="1">
        <f t="shared" si="6"/>
        <v>1.3579325454545453E-2</v>
      </c>
      <c r="M23" s="1">
        <f t="shared" si="7"/>
        <v>3.0176278787878787E-2</v>
      </c>
      <c r="N23" s="1">
        <f t="shared" si="8"/>
        <v>2.2691160010272281E-2</v>
      </c>
      <c r="O23">
        <f t="shared" si="9"/>
        <v>7.9030816640986191E-3</v>
      </c>
      <c r="P23" s="1">
        <f t="shared" si="10"/>
        <v>1.4788078346173662E-2</v>
      </c>
      <c r="Q23" s="1">
        <f t="shared" si="11"/>
        <v>0.1321123316498316</v>
      </c>
      <c r="R23" s="1">
        <f t="shared" si="12"/>
        <v>4.4649995006562984E-2</v>
      </c>
      <c r="S23">
        <f t="shared" si="13"/>
        <v>2.3861961546191478E-2</v>
      </c>
      <c r="T23" s="1">
        <f t="shared" si="14"/>
        <v>0.20062428820258604</v>
      </c>
    </row>
    <row r="24" spans="1:20" x14ac:dyDescent="0.25">
      <c r="A24">
        <v>12</v>
      </c>
      <c r="B24">
        <v>37.700000000000003</v>
      </c>
      <c r="C24">
        <v>3.35</v>
      </c>
      <c r="D24">
        <v>89</v>
      </c>
      <c r="E24">
        <v>65</v>
      </c>
      <c r="F24">
        <f t="shared" si="0"/>
        <v>0.45240000000000002</v>
      </c>
      <c r="G24">
        <f t="shared" si="1"/>
        <v>0.36525323574730356</v>
      </c>
      <c r="H24">
        <f t="shared" si="2"/>
        <v>0.80736789510898221</v>
      </c>
      <c r="I24" s="1">
        <f t="shared" si="3"/>
        <v>0.33304923076923082</v>
      </c>
      <c r="J24">
        <f t="shared" si="4"/>
        <v>8.7146764252696463E-2</v>
      </c>
      <c r="K24">
        <f t="shared" si="5"/>
        <v>15384.615384615387</v>
      </c>
      <c r="L24" s="1">
        <f t="shared" si="6"/>
        <v>1.838431753846154E-2</v>
      </c>
      <c r="M24" s="1">
        <f t="shared" si="7"/>
        <v>4.0854038974358978E-2</v>
      </c>
      <c r="N24" s="1">
        <f t="shared" si="8"/>
        <v>2.7908407739875948E-2</v>
      </c>
      <c r="O24">
        <f t="shared" si="9"/>
        <v>1.0903081664098622E-2</v>
      </c>
      <c r="P24" s="1">
        <f t="shared" si="10"/>
        <v>1.7005326075777327E-2</v>
      </c>
      <c r="Q24" s="1">
        <f t="shared" si="11"/>
        <v>0.13094243261012492</v>
      </c>
      <c r="R24" s="1">
        <f t="shared" si="12"/>
        <v>3.7589138098535202E-2</v>
      </c>
      <c r="S24">
        <f t="shared" si="13"/>
        <v>2.4100534182357695E-2</v>
      </c>
      <c r="T24" s="1">
        <f t="shared" si="14"/>
        <v>0.19263210489101781</v>
      </c>
    </row>
    <row r="25" spans="1:20" x14ac:dyDescent="0.25">
      <c r="A25">
        <v>12</v>
      </c>
      <c r="B25">
        <v>47.8</v>
      </c>
      <c r="C25">
        <v>3.35</v>
      </c>
      <c r="D25">
        <v>118</v>
      </c>
      <c r="E25">
        <v>51</v>
      </c>
      <c r="F25">
        <f t="shared" si="0"/>
        <v>0.57359999999999989</v>
      </c>
      <c r="G25">
        <f t="shared" si="1"/>
        <v>0.46240323574730352</v>
      </c>
      <c r="H25">
        <f t="shared" si="2"/>
        <v>0.80614232173518763</v>
      </c>
      <c r="I25" s="1">
        <f t="shared" si="3"/>
        <v>0.4244745098039216</v>
      </c>
      <c r="J25">
        <f t="shared" si="4"/>
        <v>0.11119676425269637</v>
      </c>
      <c r="K25">
        <f t="shared" si="5"/>
        <v>19607.843137254902</v>
      </c>
      <c r="L25" s="1">
        <f t="shared" si="6"/>
        <v>2.3430992941176468E-2</v>
      </c>
      <c r="M25" s="1">
        <f t="shared" si="7"/>
        <v>5.2068873202614378E-2</v>
      </c>
      <c r="N25" s="1">
        <f t="shared" si="8"/>
        <v>3.5696898108905521E-2</v>
      </c>
      <c r="O25">
        <f t="shared" si="9"/>
        <v>1.3803081664098625E-2</v>
      </c>
      <c r="P25" s="1">
        <f t="shared" si="10"/>
        <v>2.1893816444806896E-2</v>
      </c>
      <c r="Q25" s="1">
        <f t="shared" si="11"/>
        <v>0.1316245923008906</v>
      </c>
      <c r="R25" s="1">
        <f t="shared" si="12"/>
        <v>3.8169136061378839E-2</v>
      </c>
      <c r="S25">
        <f t="shared" si="13"/>
        <v>2.4063949902542934E-2</v>
      </c>
      <c r="T25" s="1">
        <f t="shared" si="14"/>
        <v>0.19385767826481237</v>
      </c>
    </row>
    <row r="26" spans="1:20" x14ac:dyDescent="0.25">
      <c r="A26">
        <v>12</v>
      </c>
      <c r="B26">
        <v>58.5</v>
      </c>
      <c r="C26">
        <v>3.35</v>
      </c>
      <c r="D26">
        <v>149</v>
      </c>
      <c r="E26">
        <v>42</v>
      </c>
      <c r="F26">
        <f t="shared" si="0"/>
        <v>0.70199999999999996</v>
      </c>
      <c r="G26">
        <f t="shared" si="1"/>
        <v>0.56625323574730357</v>
      </c>
      <c r="H26">
        <f t="shared" si="2"/>
        <v>0.8066285409505749</v>
      </c>
      <c r="I26" s="1">
        <f t="shared" si="3"/>
        <v>0.51543333333333341</v>
      </c>
      <c r="J26">
        <f t="shared" si="4"/>
        <v>0.13574676425269638</v>
      </c>
      <c r="K26">
        <f t="shared" si="5"/>
        <v>23809.523809523809</v>
      </c>
      <c r="L26" s="1">
        <f t="shared" si="6"/>
        <v>2.8451919999999995E-2</v>
      </c>
      <c r="M26" s="1">
        <f t="shared" si="7"/>
        <v>6.322648888888889E-2</v>
      </c>
      <c r="N26" s="1">
        <f t="shared" si="8"/>
        <v>4.4068355363807502E-2</v>
      </c>
      <c r="O26">
        <f t="shared" si="9"/>
        <v>1.6903081664098627E-2</v>
      </c>
      <c r="P26" s="1">
        <f t="shared" si="10"/>
        <v>2.7165273699708874E-2</v>
      </c>
      <c r="Q26" s="1">
        <f t="shared" si="11"/>
        <v>0.13059602405824627</v>
      </c>
      <c r="R26" s="1">
        <f t="shared" si="12"/>
        <v>3.8696971082206377E-2</v>
      </c>
      <c r="S26">
        <f t="shared" si="13"/>
        <v>2.4078463908972406E-2</v>
      </c>
      <c r="T26" s="1">
        <f t="shared" si="14"/>
        <v>0.19337145904942504</v>
      </c>
    </row>
    <row r="27" spans="1:20" x14ac:dyDescent="0.25">
      <c r="A27">
        <v>12</v>
      </c>
      <c r="B27">
        <v>68.8</v>
      </c>
      <c r="C27">
        <v>3.35</v>
      </c>
      <c r="D27">
        <v>179</v>
      </c>
      <c r="E27">
        <v>35.700000000000003</v>
      </c>
      <c r="F27">
        <f t="shared" si="0"/>
        <v>0.82559999999999989</v>
      </c>
      <c r="G27">
        <f t="shared" si="1"/>
        <v>0.66675323574730361</v>
      </c>
      <c r="H27">
        <f t="shared" si="2"/>
        <v>0.80759839601175354</v>
      </c>
      <c r="I27" s="1">
        <f t="shared" si="3"/>
        <v>0.60639215686274506</v>
      </c>
      <c r="J27">
        <f t="shared" si="4"/>
        <v>0.15884676425269628</v>
      </c>
      <c r="K27">
        <f t="shared" si="5"/>
        <v>28011.204481792716</v>
      </c>
      <c r="L27" s="1">
        <f t="shared" si="6"/>
        <v>3.3472847058823522E-2</v>
      </c>
      <c r="M27" s="1">
        <f t="shared" si="7"/>
        <v>7.4384104575163396E-2</v>
      </c>
      <c r="N27" s="1">
        <f t="shared" si="8"/>
        <v>5.0989812618709357E-2</v>
      </c>
      <c r="O27">
        <f t="shared" si="9"/>
        <v>1.990308166409863E-2</v>
      </c>
      <c r="P27" s="1">
        <f t="shared" si="10"/>
        <v>3.1086730954610727E-2</v>
      </c>
      <c r="Q27" s="1">
        <f t="shared" si="11"/>
        <v>0.13064068754116634</v>
      </c>
      <c r="R27" s="1">
        <f t="shared" si="12"/>
        <v>3.7653501640759125E-2</v>
      </c>
      <c r="S27">
        <f t="shared" si="13"/>
        <v>2.4107414806321018E-2</v>
      </c>
      <c r="T27" s="1">
        <f t="shared" si="14"/>
        <v>0.19240160398824646</v>
      </c>
    </row>
    <row r="28" spans="1:20" x14ac:dyDescent="0.25">
      <c r="A28">
        <v>12</v>
      </c>
      <c r="B28">
        <v>79.900000000000006</v>
      </c>
      <c r="C28">
        <v>3.35</v>
      </c>
      <c r="D28">
        <v>210</v>
      </c>
      <c r="E28">
        <f>62.4/2</f>
        <v>31.2</v>
      </c>
      <c r="F28">
        <f t="shared" si="0"/>
        <v>0.9588000000000001</v>
      </c>
      <c r="G28">
        <f t="shared" si="1"/>
        <v>0.77060323574730361</v>
      </c>
      <c r="H28">
        <f t="shared" si="2"/>
        <v>0.80371634934011627</v>
      </c>
      <c r="I28" s="1">
        <f t="shared" si="3"/>
        <v>0.69385256410256413</v>
      </c>
      <c r="J28">
        <f t="shared" si="4"/>
        <v>0.18819676425269649</v>
      </c>
      <c r="K28">
        <f t="shared" si="5"/>
        <v>32051.282051282051</v>
      </c>
      <c r="L28" s="1">
        <f t="shared" si="6"/>
        <v>3.8300661538461532E-2</v>
      </c>
      <c r="M28" s="1">
        <f t="shared" si="7"/>
        <v>8.5112581196581188E-2</v>
      </c>
      <c r="N28" s="1">
        <f t="shared" si="8"/>
        <v>6.4783521517653764E-2</v>
      </c>
      <c r="O28">
        <f t="shared" si="9"/>
        <v>2.3003081664098632E-2</v>
      </c>
      <c r="P28" s="1">
        <f t="shared" si="10"/>
        <v>4.1780439853555132E-2</v>
      </c>
      <c r="Q28" s="1">
        <f t="shared" si="11"/>
        <v>0.12871635662812131</v>
      </c>
      <c r="R28" s="1">
        <f t="shared" si="12"/>
        <v>4.3575761215639476E-2</v>
      </c>
      <c r="S28">
        <f t="shared" si="13"/>
        <v>2.3991532816122894E-2</v>
      </c>
      <c r="T28" s="1">
        <f t="shared" si="14"/>
        <v>0.19628365065988368</v>
      </c>
    </row>
    <row r="29" spans="1:20" x14ac:dyDescent="0.25">
      <c r="A29">
        <v>12</v>
      </c>
      <c r="B29">
        <v>90.1</v>
      </c>
      <c r="C29">
        <v>3.35</v>
      </c>
      <c r="D29">
        <v>239</v>
      </c>
      <c r="E29">
        <f>55.4/2</f>
        <v>27.7</v>
      </c>
      <c r="F29">
        <f t="shared" si="0"/>
        <v>1.0811999999999997</v>
      </c>
      <c r="G29">
        <f t="shared" si="1"/>
        <v>0.86775323574730356</v>
      </c>
      <c r="H29">
        <f t="shared" si="2"/>
        <v>0.80258345888577853</v>
      </c>
      <c r="I29" s="1">
        <f t="shared" si="3"/>
        <v>0.78152346570397113</v>
      </c>
      <c r="J29">
        <f t="shared" si="4"/>
        <v>0.21344676425269615</v>
      </c>
      <c r="K29">
        <f t="shared" si="5"/>
        <v>36101.083032490977</v>
      </c>
      <c r="L29" s="1">
        <f t="shared" si="6"/>
        <v>4.3140095306859201E-2</v>
      </c>
      <c r="M29" s="1">
        <f t="shared" si="7"/>
        <v>9.5866878459687124E-2</v>
      </c>
      <c r="N29" s="1">
        <f t="shared" si="8"/>
        <v>7.4439790486149834E-2</v>
      </c>
      <c r="O29">
        <f t="shared" si="9"/>
        <v>2.5903081664098639E-2</v>
      </c>
      <c r="P29" s="1">
        <f t="shared" si="10"/>
        <v>4.8536708822051196E-2</v>
      </c>
      <c r="Q29" s="1">
        <f t="shared" si="11"/>
        <v>0.12856730833013907</v>
      </c>
      <c r="R29" s="1">
        <f t="shared" si="12"/>
        <v>4.4891517593462084E-2</v>
      </c>
      <c r="S29">
        <f t="shared" si="13"/>
        <v>2.3957715190620277E-2</v>
      </c>
      <c r="T29" s="1">
        <f t="shared" si="14"/>
        <v>0.19741654111422144</v>
      </c>
    </row>
    <row r="30" spans="1:20" x14ac:dyDescent="0.25">
      <c r="A30">
        <v>12</v>
      </c>
      <c r="B30">
        <v>101.1</v>
      </c>
      <c r="C30">
        <v>3.35</v>
      </c>
      <c r="D30">
        <v>270</v>
      </c>
      <c r="E30">
        <f>48.6/2</f>
        <v>24.3</v>
      </c>
      <c r="F30">
        <f t="shared" si="0"/>
        <v>1.2131999999999998</v>
      </c>
      <c r="G30">
        <f t="shared" si="1"/>
        <v>0.97160323574730356</v>
      </c>
      <c r="H30">
        <f t="shared" si="2"/>
        <v>0.80085990417680819</v>
      </c>
      <c r="I30" s="1">
        <f t="shared" si="3"/>
        <v>0.89087242798353916</v>
      </c>
      <c r="J30">
        <f t="shared" si="4"/>
        <v>0.24159676425269627</v>
      </c>
      <c r="K30">
        <f t="shared" si="5"/>
        <v>41152.263374485592</v>
      </c>
      <c r="L30" s="1">
        <f t="shared" si="6"/>
        <v>4.9176158024691344E-2</v>
      </c>
      <c r="M30" s="1">
        <f t="shared" si="7"/>
        <v>0.10928035116598078</v>
      </c>
      <c r="N30" s="1">
        <f t="shared" si="8"/>
        <v>8.314025506202416E-2</v>
      </c>
      <c r="O30">
        <f t="shared" si="9"/>
        <v>2.9003081664098644E-2</v>
      </c>
      <c r="P30" s="1">
        <f t="shared" si="10"/>
        <v>5.4137173397925516E-2</v>
      </c>
      <c r="Q30" s="1">
        <f t="shared" si="11"/>
        <v>0.13061037684691076</v>
      </c>
      <c r="R30" s="1">
        <f t="shared" si="12"/>
        <v>4.4623453179958396E-2</v>
      </c>
      <c r="S30">
        <f t="shared" si="13"/>
        <v>2.3906265796322657E-2</v>
      </c>
      <c r="T30" s="1">
        <f t="shared" si="14"/>
        <v>0.19914009582319181</v>
      </c>
    </row>
    <row r="31" spans="1:20" x14ac:dyDescent="0.25">
      <c r="I31" s="1"/>
      <c r="L31" s="1">
        <v>6.0000000000000002E-6</v>
      </c>
      <c r="M31" s="1">
        <v>1.5999999999999999E-5</v>
      </c>
      <c r="N31" s="1"/>
      <c r="P31" s="1"/>
      <c r="T31" s="1"/>
    </row>
    <row r="32" spans="1:20" x14ac:dyDescent="0.25">
      <c r="I32" s="1"/>
      <c r="L32" s="1">
        <f>$B$4^2*($B$9+$B$8)*L31/3</f>
        <v>9.9581719999999999E-7</v>
      </c>
      <c r="M32" s="1">
        <f>$B$4^2*($B$9+$B$8)*M31/3</f>
        <v>2.6555125333333332E-6</v>
      </c>
      <c r="N32" s="1"/>
      <c r="P32" s="1"/>
      <c r="T32" s="1"/>
    </row>
    <row r="33" spans="1:20" x14ac:dyDescent="0.25">
      <c r="A33">
        <v>14</v>
      </c>
      <c r="B33">
        <v>6.4</v>
      </c>
      <c r="C33">
        <v>3.35</v>
      </c>
      <c r="D33">
        <v>0</v>
      </c>
      <c r="E33">
        <v>304</v>
      </c>
      <c r="F33">
        <f t="shared" si="0"/>
        <v>8.9600000000000013E-2</v>
      </c>
      <c r="G33">
        <f t="shared" si="1"/>
        <v>6.710323574730355E-2</v>
      </c>
      <c r="H33">
        <f t="shared" si="2"/>
        <v>0.7489200418225842</v>
      </c>
      <c r="I33" s="1">
        <f t="shared" si="3"/>
        <v>7.1211184210526315E-2</v>
      </c>
      <c r="J33">
        <f t="shared" si="4"/>
        <v>2.2496764252696463E-2</v>
      </c>
      <c r="K33">
        <f t="shared" si="5"/>
        <v>3289.4736842105267</v>
      </c>
      <c r="L33" s="1">
        <f>K33*L$32</f>
        <v>3.2757144736842107E-3</v>
      </c>
      <c r="M33" s="1">
        <f>K33*M$32</f>
        <v>8.735238596491229E-3</v>
      </c>
      <c r="N33" s="1">
        <f t="shared" si="8"/>
        <v>1.0485811182521025E-2</v>
      </c>
      <c r="O33">
        <f>($B$11-C33)*(D33/1000+$B$6)</f>
        <v>2.0030816640986149E-3</v>
      </c>
      <c r="P33" s="1">
        <f t="shared" si="10"/>
        <v>8.4827295184224105E-3</v>
      </c>
      <c r="Q33" s="1">
        <f>(L33+M33)/F33</f>
        <v>0.13405081551535086</v>
      </c>
      <c r="R33" s="1">
        <f>P33/F33</f>
        <v>9.4673320518107243E-2</v>
      </c>
      <c r="S33">
        <f t="shared" si="13"/>
        <v>2.2355822143957753E-2</v>
      </c>
      <c r="T33" s="1">
        <f t="shared" si="14"/>
        <v>0.25107995817741585</v>
      </c>
    </row>
    <row r="34" spans="1:20" x14ac:dyDescent="0.25">
      <c r="A34">
        <v>14</v>
      </c>
      <c r="B34">
        <v>15</v>
      </c>
      <c r="C34">
        <v>3.35</v>
      </c>
      <c r="D34">
        <v>29</v>
      </c>
      <c r="E34">
        <v>130</v>
      </c>
      <c r="F34">
        <f t="shared" si="0"/>
        <v>0.21</v>
      </c>
      <c r="G34">
        <f t="shared" si="1"/>
        <v>0.16425323574730355</v>
      </c>
      <c r="H34">
        <f t="shared" si="2"/>
        <v>0.78215826546335021</v>
      </c>
      <c r="I34" s="1">
        <f t="shared" si="3"/>
        <v>0.16652461538461541</v>
      </c>
      <c r="J34">
        <f t="shared" si="4"/>
        <v>4.5746764252696442E-2</v>
      </c>
      <c r="K34">
        <f t="shared" si="5"/>
        <v>7692.3076923076933</v>
      </c>
      <c r="L34" s="1">
        <f t="shared" ref="L34:L42" si="15">K34*L$32</f>
        <v>7.6601323076923083E-3</v>
      </c>
      <c r="M34" s="1">
        <f t="shared" ref="M34:M42" si="16">K34*M$32</f>
        <v>2.0427019487179489E-2</v>
      </c>
      <c r="N34" s="1">
        <f t="shared" si="8"/>
        <v>1.7659612457824644E-2</v>
      </c>
      <c r="O34">
        <f t="shared" ref="O34:O42" si="17">($B$11-C34)*(D34/1000+$B$6)</f>
        <v>4.9030816640986173E-3</v>
      </c>
      <c r="P34" s="1">
        <f t="shared" si="10"/>
        <v>1.2756530793726028E-2</v>
      </c>
      <c r="Q34" s="1">
        <f t="shared" ref="Q34:Q42" si="18">(L34+M34)/F34</f>
        <v>0.1337483418803419</v>
      </c>
      <c r="R34" s="1">
        <f t="shared" ref="R34:R42" si="19">P34/F34</f>
        <v>6.0745384732028708E-2</v>
      </c>
      <c r="S34">
        <f t="shared" si="13"/>
        <v>2.3348007924279129E-2</v>
      </c>
      <c r="T34" s="1">
        <f t="shared" si="14"/>
        <v>0.21784173453664973</v>
      </c>
    </row>
    <row r="35" spans="1:20" x14ac:dyDescent="0.25">
      <c r="A35">
        <v>14</v>
      </c>
      <c r="B35">
        <v>23.6</v>
      </c>
      <c r="C35">
        <v>3.35</v>
      </c>
      <c r="D35">
        <v>59</v>
      </c>
      <c r="E35">
        <v>82</v>
      </c>
      <c r="F35">
        <f t="shared" si="0"/>
        <v>0.33040000000000003</v>
      </c>
      <c r="G35">
        <f t="shared" si="1"/>
        <v>0.26475323574730353</v>
      </c>
      <c r="H35">
        <f t="shared" si="2"/>
        <v>0.80131124620854577</v>
      </c>
      <c r="I35" s="1">
        <f t="shared" si="3"/>
        <v>0.26400243902439025</v>
      </c>
      <c r="J35">
        <f t="shared" si="4"/>
        <v>6.5646764252696499E-2</v>
      </c>
      <c r="K35">
        <f t="shared" si="5"/>
        <v>12195.121951219511</v>
      </c>
      <c r="L35" s="1">
        <f t="shared" si="15"/>
        <v>1.214411219512195E-2</v>
      </c>
      <c r="M35" s="1">
        <f t="shared" si="16"/>
        <v>3.2384299186991865E-2</v>
      </c>
      <c r="N35" s="1">
        <f t="shared" si="8"/>
        <v>2.1118352870582682E-2</v>
      </c>
      <c r="O35">
        <f t="shared" si="17"/>
        <v>7.9030816640986191E-3</v>
      </c>
      <c r="P35" s="1">
        <f t="shared" si="10"/>
        <v>1.3215271206484063E-2</v>
      </c>
      <c r="Q35" s="1">
        <f t="shared" si="18"/>
        <v>0.13477122089017499</v>
      </c>
      <c r="R35" s="1">
        <f t="shared" si="19"/>
        <v>3.999779420848687E-2</v>
      </c>
      <c r="S35">
        <f t="shared" si="13"/>
        <v>2.391973869279243E-2</v>
      </c>
      <c r="T35" s="1">
        <f t="shared" si="14"/>
        <v>0.19868875379145429</v>
      </c>
    </row>
    <row r="36" spans="1:20" x14ac:dyDescent="0.25">
      <c r="A36">
        <v>14</v>
      </c>
      <c r="B36">
        <v>32.200000000000003</v>
      </c>
      <c r="C36">
        <v>3.35</v>
      </c>
      <c r="D36">
        <v>88</v>
      </c>
      <c r="E36">
        <v>60.4</v>
      </c>
      <c r="F36">
        <f t="shared" si="0"/>
        <v>0.45080000000000009</v>
      </c>
      <c r="G36">
        <f t="shared" si="1"/>
        <v>0.36190323574730354</v>
      </c>
      <c r="H36">
        <f t="shared" si="2"/>
        <v>0.80280220884495002</v>
      </c>
      <c r="I36" s="1">
        <f t="shared" si="3"/>
        <v>0.35841390728476824</v>
      </c>
      <c r="J36">
        <f t="shared" si="4"/>
        <v>8.8896764252696547E-2</v>
      </c>
      <c r="K36">
        <f t="shared" si="5"/>
        <v>16556.291390728478</v>
      </c>
      <c r="L36" s="1">
        <f t="shared" si="15"/>
        <v>1.6487039735099338E-2</v>
      </c>
      <c r="M36" s="1">
        <f t="shared" si="16"/>
        <v>4.3965439293598238E-2</v>
      </c>
      <c r="N36" s="1">
        <f t="shared" si="8"/>
        <v>2.8444285223998972E-2</v>
      </c>
      <c r="O36">
        <f t="shared" si="17"/>
        <v>1.0803081664098622E-2</v>
      </c>
      <c r="P36" s="1">
        <f t="shared" si="10"/>
        <v>1.7641203559900349E-2</v>
      </c>
      <c r="Q36" s="1">
        <f t="shared" si="18"/>
        <v>0.13410044150110373</v>
      </c>
      <c r="R36" s="1">
        <f t="shared" si="19"/>
        <v>3.9133104613798458E-2</v>
      </c>
      <c r="S36">
        <f t="shared" si="13"/>
        <v>2.3964245040147783E-2</v>
      </c>
      <c r="T36" s="1">
        <f t="shared" si="14"/>
        <v>0.19719779115504998</v>
      </c>
    </row>
    <row r="37" spans="1:20" x14ac:dyDescent="0.25">
      <c r="A37">
        <v>14</v>
      </c>
      <c r="B37">
        <v>40.700000000000003</v>
      </c>
      <c r="C37">
        <v>3.35</v>
      </c>
      <c r="D37">
        <v>118</v>
      </c>
      <c r="E37">
        <v>48</v>
      </c>
      <c r="F37">
        <f t="shared" si="0"/>
        <v>0.56980000000000008</v>
      </c>
      <c r="G37">
        <f t="shared" si="1"/>
        <v>0.46240323574730352</v>
      </c>
      <c r="H37">
        <f t="shared" si="2"/>
        <v>0.81151849025500777</v>
      </c>
      <c r="I37" s="1">
        <f t="shared" si="3"/>
        <v>0.45100416666666665</v>
      </c>
      <c r="J37">
        <f t="shared" si="4"/>
        <v>0.10739676425269656</v>
      </c>
      <c r="K37">
        <f t="shared" si="5"/>
        <v>20833.333333333332</v>
      </c>
      <c r="L37" s="1">
        <f t="shared" si="15"/>
        <v>2.0746191666666663E-2</v>
      </c>
      <c r="M37" s="1">
        <f t="shared" si="16"/>
        <v>5.5323177777777774E-2</v>
      </c>
      <c r="N37" s="1">
        <f t="shared" si="8"/>
        <v>3.1327394808252126E-2</v>
      </c>
      <c r="O37">
        <f t="shared" si="17"/>
        <v>1.3803081664098625E-2</v>
      </c>
      <c r="P37" s="1">
        <f t="shared" si="10"/>
        <v>1.7524313144153501E-2</v>
      </c>
      <c r="Q37" s="1">
        <f t="shared" si="18"/>
        <v>0.13350187687687684</v>
      </c>
      <c r="R37" s="1">
        <f t="shared" si="19"/>
        <v>3.0755200323189714E-2</v>
      </c>
      <c r="S37">
        <f t="shared" si="13"/>
        <v>2.422443254492563E-2</v>
      </c>
      <c r="T37" s="1">
        <f t="shared" si="14"/>
        <v>0.18848150974499217</v>
      </c>
    </row>
    <row r="38" spans="1:20" x14ac:dyDescent="0.25">
      <c r="A38">
        <v>14</v>
      </c>
      <c r="B38">
        <v>49.7</v>
      </c>
      <c r="C38">
        <v>3.35</v>
      </c>
      <c r="D38">
        <v>149</v>
      </c>
      <c r="E38">
        <v>39</v>
      </c>
      <c r="F38">
        <f t="shared" si="0"/>
        <v>0.69580000000000009</v>
      </c>
      <c r="G38">
        <f t="shared" si="1"/>
        <v>0.56625323574730357</v>
      </c>
      <c r="H38">
        <f t="shared" si="2"/>
        <v>0.81381609046752446</v>
      </c>
      <c r="I38" s="1">
        <f t="shared" si="3"/>
        <v>0.55508205128205124</v>
      </c>
      <c r="J38">
        <f t="shared" si="4"/>
        <v>0.12954676425269651</v>
      </c>
      <c r="K38">
        <f t="shared" si="5"/>
        <v>25641.025641025641</v>
      </c>
      <c r="L38" s="1">
        <f t="shared" si="15"/>
        <v>2.5533774358974359E-2</v>
      </c>
      <c r="M38" s="1">
        <f t="shared" si="16"/>
        <v>6.8090064957264954E-2</v>
      </c>
      <c r="N38" s="1">
        <f t="shared" si="8"/>
        <v>3.5922924936457198E-2</v>
      </c>
      <c r="O38">
        <f t="shared" si="17"/>
        <v>1.6903081664098627E-2</v>
      </c>
      <c r="P38" s="1">
        <f t="shared" si="10"/>
        <v>1.9019843272358571E-2</v>
      </c>
      <c r="Q38" s="1">
        <f t="shared" si="18"/>
        <v>0.1345556759359576</v>
      </c>
      <c r="R38" s="1">
        <f t="shared" si="19"/>
        <v>2.7335215970621687E-2</v>
      </c>
      <c r="S38">
        <f t="shared" si="13"/>
        <v>2.4293017625896269E-2</v>
      </c>
      <c r="T38" s="1">
        <f t="shared" si="14"/>
        <v>0.18618390953247557</v>
      </c>
    </row>
    <row r="39" spans="1:20" x14ac:dyDescent="0.25">
      <c r="A39">
        <v>14</v>
      </c>
      <c r="B39">
        <v>58.4</v>
      </c>
      <c r="C39">
        <v>3.35</v>
      </c>
      <c r="D39">
        <v>179</v>
      </c>
      <c r="E39">
        <v>34</v>
      </c>
      <c r="F39">
        <f t="shared" si="0"/>
        <v>0.81759999999999999</v>
      </c>
      <c r="G39">
        <f t="shared" si="1"/>
        <v>0.66675323574730361</v>
      </c>
      <c r="H39">
        <f t="shared" si="2"/>
        <v>0.8155005329590308</v>
      </c>
      <c r="I39" s="1">
        <f t="shared" si="3"/>
        <v>0.63671176470588242</v>
      </c>
      <c r="J39">
        <f t="shared" si="4"/>
        <v>0.15084676425269639</v>
      </c>
      <c r="K39">
        <f t="shared" si="5"/>
        <v>29411.764705882353</v>
      </c>
      <c r="L39" s="1">
        <f t="shared" si="15"/>
        <v>2.9288741176470588E-2</v>
      </c>
      <c r="M39" s="1">
        <f t="shared" si="16"/>
        <v>7.8103309803921564E-2</v>
      </c>
      <c r="N39" s="1">
        <f t="shared" si="8"/>
        <v>4.3454713272304227E-2</v>
      </c>
      <c r="O39">
        <f t="shared" si="17"/>
        <v>1.990308166409863E-2</v>
      </c>
      <c r="P39" s="1">
        <f t="shared" si="10"/>
        <v>2.3551631608205597E-2</v>
      </c>
      <c r="Q39" s="1">
        <f t="shared" si="18"/>
        <v>0.13135035589578295</v>
      </c>
      <c r="R39" s="1">
        <f t="shared" si="19"/>
        <v>2.8805811653871815E-2</v>
      </c>
      <c r="S39">
        <f t="shared" si="13"/>
        <v>2.434329949131437E-2</v>
      </c>
      <c r="T39" s="1">
        <f t="shared" si="14"/>
        <v>0.18449946704096912</v>
      </c>
    </row>
    <row r="40" spans="1:20" x14ac:dyDescent="0.25">
      <c r="A40">
        <v>14</v>
      </c>
      <c r="B40">
        <v>67.900000000000006</v>
      </c>
      <c r="C40">
        <v>3.35</v>
      </c>
      <c r="D40">
        <v>209</v>
      </c>
      <c r="E40">
        <f>58.2/2</f>
        <v>29.1</v>
      </c>
      <c r="F40">
        <f t="shared" si="0"/>
        <v>0.95060000000000011</v>
      </c>
      <c r="G40">
        <f t="shared" si="1"/>
        <v>0.76725323574730353</v>
      </c>
      <c r="H40">
        <f t="shared" si="2"/>
        <v>0.80712522169924616</v>
      </c>
      <c r="I40" s="1">
        <f t="shared" si="3"/>
        <v>0.74392439862542947</v>
      </c>
      <c r="J40">
        <f t="shared" si="4"/>
        <v>0.18334676425269658</v>
      </c>
      <c r="K40">
        <f t="shared" si="5"/>
        <v>34364.261168384881</v>
      </c>
      <c r="L40" s="1">
        <f t="shared" si="15"/>
        <v>3.4220522336769761E-2</v>
      </c>
      <c r="M40" s="1">
        <f t="shared" si="16"/>
        <v>9.1254726231386016E-2</v>
      </c>
      <c r="N40" s="1">
        <f t="shared" si="8"/>
        <v>5.7871515684540811E-2</v>
      </c>
      <c r="O40">
        <f t="shared" si="17"/>
        <v>2.2903081664098632E-2</v>
      </c>
      <c r="P40" s="1">
        <f t="shared" si="10"/>
        <v>3.4968434020442182E-2</v>
      </c>
      <c r="Q40" s="1">
        <f t="shared" si="18"/>
        <v>0.13199584322339131</v>
      </c>
      <c r="R40" s="1">
        <f t="shared" si="19"/>
        <v>3.6785644877384997E-2</v>
      </c>
      <c r="S40">
        <f t="shared" si="13"/>
        <v>2.409329019997752E-2</v>
      </c>
      <c r="T40" s="1">
        <f t="shared" si="14"/>
        <v>0.19287477830075384</v>
      </c>
    </row>
    <row r="41" spans="1:20" x14ac:dyDescent="0.25">
      <c r="A41">
        <v>14</v>
      </c>
      <c r="B41">
        <v>76.2</v>
      </c>
      <c r="C41">
        <v>3.35</v>
      </c>
      <c r="D41">
        <v>239</v>
      </c>
      <c r="E41">
        <f>51.6/2</f>
        <v>25.8</v>
      </c>
      <c r="F41">
        <f t="shared" si="0"/>
        <v>1.0668</v>
      </c>
      <c r="G41">
        <f t="shared" si="1"/>
        <v>0.86775323574730356</v>
      </c>
      <c r="H41">
        <f t="shared" si="2"/>
        <v>0.81341698139042329</v>
      </c>
      <c r="I41" s="1">
        <f t="shared" si="3"/>
        <v>0.83907751937984498</v>
      </c>
      <c r="J41">
        <f t="shared" si="4"/>
        <v>0.19904676425269641</v>
      </c>
      <c r="K41">
        <f t="shared" si="5"/>
        <v>38759.689922480618</v>
      </c>
      <c r="L41" s="1">
        <f t="shared" si="15"/>
        <v>3.8597565891472868E-2</v>
      </c>
      <c r="M41" s="1">
        <f t="shared" si="16"/>
        <v>0.10292684237726098</v>
      </c>
      <c r="N41" s="1">
        <f t="shared" si="8"/>
        <v>5.7522355983962561E-2</v>
      </c>
      <c r="O41">
        <f t="shared" si="17"/>
        <v>2.5903081664098639E-2</v>
      </c>
      <c r="P41" s="1">
        <f t="shared" si="10"/>
        <v>3.1619274319863923E-2</v>
      </c>
      <c r="Q41" s="1">
        <f t="shared" si="18"/>
        <v>0.13266254993319634</v>
      </c>
      <c r="R41" s="1">
        <f t="shared" si="19"/>
        <v>2.9639364754278145E-2</v>
      </c>
      <c r="S41">
        <f t="shared" si="13"/>
        <v>2.4281103922102212E-2</v>
      </c>
      <c r="T41" s="1">
        <f t="shared" si="14"/>
        <v>0.18658301860957671</v>
      </c>
    </row>
    <row r="42" spans="1:20" x14ac:dyDescent="0.25">
      <c r="A42">
        <v>14</v>
      </c>
      <c r="B42">
        <v>85.3</v>
      </c>
      <c r="C42">
        <v>3.35</v>
      </c>
      <c r="D42">
        <v>270</v>
      </c>
      <c r="E42">
        <v>22.6</v>
      </c>
      <c r="F42">
        <f t="shared" si="0"/>
        <v>1.1942000000000002</v>
      </c>
      <c r="G42">
        <f t="shared" si="1"/>
        <v>0.97160323574730356</v>
      </c>
      <c r="H42">
        <f t="shared" si="2"/>
        <v>0.81360177168590142</v>
      </c>
      <c r="I42" s="1">
        <f t="shared" si="3"/>
        <v>0.95788495575221244</v>
      </c>
      <c r="J42">
        <f t="shared" si="4"/>
        <v>0.22259676425269659</v>
      </c>
      <c r="K42">
        <f t="shared" si="5"/>
        <v>44247.787610619467</v>
      </c>
      <c r="L42" s="1">
        <f t="shared" si="15"/>
        <v>4.4062707964601766E-2</v>
      </c>
      <c r="M42" s="1">
        <f t="shared" si="16"/>
        <v>0.11750055457227138</v>
      </c>
      <c r="N42" s="1">
        <f t="shared" si="8"/>
        <v>6.1033501715823446E-2</v>
      </c>
      <c r="O42">
        <f t="shared" si="17"/>
        <v>2.9003081664098644E-2</v>
      </c>
      <c r="P42" s="1">
        <f t="shared" si="10"/>
        <v>3.2030420051724802E-2</v>
      </c>
      <c r="Q42" s="1">
        <f t="shared" si="18"/>
        <v>0.13528995355624948</v>
      </c>
      <c r="R42" s="1">
        <f t="shared" si="19"/>
        <v>2.6821654707523696E-2</v>
      </c>
      <c r="S42">
        <f t="shared" si="13"/>
        <v>2.428662005032544E-2</v>
      </c>
      <c r="T42" s="1">
        <f t="shared" si="14"/>
        <v>0.18639822831409864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2"/>
  <sheetViews>
    <sheetView workbookViewId="0">
      <selection activeCell="E40" sqref="E40"/>
    </sheetView>
  </sheetViews>
  <sheetFormatPr defaultRowHeight="15" x14ac:dyDescent="0.25"/>
  <sheetData>
    <row r="3" spans="1:12" x14ac:dyDescent="0.25">
      <c r="A3" t="s">
        <v>0</v>
      </c>
      <c r="B3" s="1">
        <v>4.6999999999999997E-5</v>
      </c>
    </row>
    <row r="4" spans="1:12" x14ac:dyDescent="0.25">
      <c r="A4" t="s">
        <v>10</v>
      </c>
      <c r="B4">
        <v>0.6</v>
      </c>
    </row>
    <row r="5" spans="1:12" x14ac:dyDescent="0.25">
      <c r="A5" t="s">
        <v>11</v>
      </c>
      <c r="B5" s="1">
        <f>B3*B4^2/2</f>
        <v>8.4599999999999986E-6</v>
      </c>
    </row>
    <row r="6" spans="1:12" x14ac:dyDescent="0.25">
      <c r="A6" t="s">
        <v>1</v>
      </c>
      <c r="B6">
        <f>1.3/64.9</f>
        <v>2.0030816640986132E-2</v>
      </c>
    </row>
    <row r="7" spans="1:12" x14ac:dyDescent="0.25">
      <c r="A7" t="s">
        <v>0</v>
      </c>
      <c r="B7">
        <f>3.35*B6</f>
        <v>6.710323574730355E-2</v>
      </c>
    </row>
    <row r="8" spans="1:12" x14ac:dyDescent="0.25">
      <c r="A8" t="s">
        <v>15</v>
      </c>
      <c r="B8">
        <v>0.125</v>
      </c>
    </row>
    <row r="9" spans="1:12" x14ac:dyDescent="0.25">
      <c r="A9" t="s">
        <v>16</v>
      </c>
      <c r="B9">
        <v>1</v>
      </c>
    </row>
    <row r="10" spans="1:12" x14ac:dyDescent="0.25">
      <c r="A10" t="s">
        <v>17</v>
      </c>
      <c r="B10">
        <v>0.5</v>
      </c>
    </row>
    <row r="11" spans="1:12" x14ac:dyDescent="0.25">
      <c r="A11" t="s">
        <v>23</v>
      </c>
      <c r="B11">
        <v>3.45</v>
      </c>
    </row>
    <row r="16" spans="1:12" x14ac:dyDescent="0.25">
      <c r="L16" t="s">
        <v>20</v>
      </c>
    </row>
    <row r="18" spans="1:20" x14ac:dyDescent="0.25">
      <c r="L18" t="s">
        <v>18</v>
      </c>
      <c r="M18" t="s">
        <v>19</v>
      </c>
    </row>
    <row r="19" spans="1:20" x14ac:dyDescent="0.25">
      <c r="L19" s="1">
        <v>3.7000000000000002E-6</v>
      </c>
      <c r="M19" s="1">
        <v>7.4000000000000003E-6</v>
      </c>
    </row>
    <row r="20" spans="1:20" x14ac:dyDescent="0.25">
      <c r="A20" t="s">
        <v>2</v>
      </c>
      <c r="B20" t="s">
        <v>6</v>
      </c>
      <c r="C20" t="s">
        <v>3</v>
      </c>
      <c r="D20" t="s">
        <v>5</v>
      </c>
      <c r="E20" t="s">
        <v>4</v>
      </c>
      <c r="F20" t="s">
        <v>8</v>
      </c>
      <c r="G20" t="s">
        <v>7</v>
      </c>
      <c r="H20" t="s">
        <v>9</v>
      </c>
      <c r="I20" t="s">
        <v>13</v>
      </c>
      <c r="J20" t="s">
        <v>12</v>
      </c>
      <c r="K20" t="s">
        <v>14</v>
      </c>
      <c r="L20" s="1">
        <f>$B$4^2*($B$9+$B$8)*L19/3</f>
        <v>4.9949999999999994E-7</v>
      </c>
      <c r="M20" s="1">
        <f>$B$4^2*($B$9+$B$8)*M19/3</f>
        <v>9.9899999999999988E-7</v>
      </c>
      <c r="N20" t="s">
        <v>21</v>
      </c>
      <c r="O20" t="s">
        <v>22</v>
      </c>
      <c r="P20" t="s">
        <v>24</v>
      </c>
      <c r="Q20" t="s">
        <v>25</v>
      </c>
      <c r="R20" t="s">
        <v>26</v>
      </c>
      <c r="S20" t="s">
        <v>27</v>
      </c>
    </row>
    <row r="21" spans="1:20" x14ac:dyDescent="0.25">
      <c r="A21">
        <v>12</v>
      </c>
      <c r="B21">
        <v>7.56</v>
      </c>
      <c r="C21">
        <v>3.35</v>
      </c>
      <c r="D21">
        <v>0</v>
      </c>
      <c r="E21">
        <v>149</v>
      </c>
      <c r="F21">
        <f>A21*B21/1000</f>
        <v>9.0719999999999995E-2</v>
      </c>
      <c r="G21">
        <f>C21*D21/1000+$B$7</f>
        <v>6.710323574730355E-2</v>
      </c>
      <c r="H21">
        <f>G21/F21</f>
        <v>0.73967411538033012</v>
      </c>
      <c r="I21" s="1">
        <f>$B$5/E21*1000000</f>
        <v>5.6778523489932876E-2</v>
      </c>
      <c r="J21">
        <f>F21-G21</f>
        <v>2.3616764252696446E-2</v>
      </c>
      <c r="K21">
        <f>1/(E21*0.000001)</f>
        <v>6711.4093959731545</v>
      </c>
      <c r="L21" s="1">
        <f>K21*L$20</f>
        <v>3.3523489932885901E-3</v>
      </c>
      <c r="M21" s="1">
        <f>K21*M$20</f>
        <v>6.7046979865771801E-3</v>
      </c>
      <c r="N21" s="1">
        <f>J21-L21-M21</f>
        <v>1.3559717272830677E-2</v>
      </c>
      <c r="O21">
        <f>($B$11-C21)*(D21/1000+$B$6)</f>
        <v>2.0030816640986149E-3</v>
      </c>
      <c r="P21" s="1">
        <f>N21-O21</f>
        <v>1.1556635608732062E-2</v>
      </c>
      <c r="Q21" s="1">
        <f>(L21+M21)/F21</f>
        <v>0.11085810162991371</v>
      </c>
      <c r="R21" s="1">
        <f>P21/F21</f>
        <v>0.12738795865004479</v>
      </c>
      <c r="S21">
        <f>O21/F21</f>
        <v>2.2079824339711365E-2</v>
      </c>
      <c r="T21" s="1">
        <f>Q21+R21+S21</f>
        <v>0.26032588461966982</v>
      </c>
    </row>
    <row r="22" spans="1:20" x14ac:dyDescent="0.25">
      <c r="A22">
        <v>12</v>
      </c>
      <c r="B22">
        <v>17.8</v>
      </c>
      <c r="C22">
        <v>3.35</v>
      </c>
      <c r="D22">
        <v>29</v>
      </c>
      <c r="E22">
        <v>64</v>
      </c>
      <c r="F22">
        <f t="shared" ref="F22:F42" si="0">A22*B22/1000</f>
        <v>0.21360000000000001</v>
      </c>
      <c r="G22">
        <f t="shared" ref="G22:G42" si="1">C22*D22/1000+$B$7</f>
        <v>0.16425323574730355</v>
      </c>
      <c r="H22">
        <f t="shared" ref="H22:H42" si="2">G22/F22</f>
        <v>0.76897582278700161</v>
      </c>
      <c r="I22" s="1">
        <f t="shared" ref="I22:I42" si="3">$B$5/E22*1000000</f>
        <v>0.13218749999999999</v>
      </c>
      <c r="J22">
        <f t="shared" ref="J22:J42" si="4">F22-G22</f>
        <v>4.9346764252696462E-2</v>
      </c>
      <c r="K22">
        <f t="shared" ref="K22:K42" si="5">1/(E22*0.000001)</f>
        <v>15625</v>
      </c>
      <c r="L22" s="1">
        <f t="shared" ref="L22:L30" si="6">K22*L$20</f>
        <v>7.8046874999999991E-3</v>
      </c>
      <c r="M22" s="1">
        <f t="shared" ref="M22:M30" si="7">K22*M$20</f>
        <v>1.5609374999999998E-2</v>
      </c>
      <c r="N22" s="1">
        <f t="shared" ref="N22:N42" si="8">J22-L22-M22</f>
        <v>2.5932701752696467E-2</v>
      </c>
      <c r="O22">
        <f t="shared" ref="O22:O30" si="9">($B$11-C22)*(D22/1000+$B$6)</f>
        <v>4.9030816640986173E-3</v>
      </c>
      <c r="P22" s="1">
        <f t="shared" ref="P22:P42" si="10">N22-O22</f>
        <v>2.102962008859785E-2</v>
      </c>
      <c r="Q22" s="1">
        <f t="shared" ref="Q22:Q30" si="11">(L22+M22)/F22</f>
        <v>0.1096163974719101</v>
      </c>
      <c r="R22" s="1">
        <f t="shared" ref="R22:R30" si="12">P22/F22</f>
        <v>9.845327756834199E-2</v>
      </c>
      <c r="S22">
        <f t="shared" ref="S22:S42" si="13">O22/F22</f>
        <v>2.2954502172746336E-2</v>
      </c>
      <c r="T22" s="1">
        <f t="shared" ref="T22:T42" si="14">Q22+R22+S22</f>
        <v>0.23102417721299842</v>
      </c>
    </row>
    <row r="23" spans="1:20" x14ac:dyDescent="0.25">
      <c r="A23">
        <v>12</v>
      </c>
      <c r="B23">
        <v>28.1</v>
      </c>
      <c r="C23">
        <v>3.35</v>
      </c>
      <c r="D23">
        <v>59</v>
      </c>
      <c r="E23">
        <v>40.6</v>
      </c>
      <c r="F23">
        <f t="shared" si="0"/>
        <v>0.33720000000000006</v>
      </c>
      <c r="G23">
        <f t="shared" si="1"/>
        <v>0.26475323574730353</v>
      </c>
      <c r="H23">
        <f t="shared" si="2"/>
        <v>0.78515194468358096</v>
      </c>
      <c r="I23" s="1">
        <f t="shared" si="3"/>
        <v>0.20837438423645316</v>
      </c>
      <c r="J23">
        <f t="shared" si="4"/>
        <v>7.2446764252696527E-2</v>
      </c>
      <c r="K23">
        <f t="shared" si="5"/>
        <v>24630.541871921185</v>
      </c>
      <c r="L23" s="1">
        <f t="shared" si="6"/>
        <v>1.230295566502463E-2</v>
      </c>
      <c r="M23" s="1">
        <f t="shared" si="7"/>
        <v>2.460591133004926E-2</v>
      </c>
      <c r="N23" s="1">
        <f t="shared" si="8"/>
        <v>3.5537897257622637E-2</v>
      </c>
      <c r="O23">
        <f t="shared" si="9"/>
        <v>7.9030816640986191E-3</v>
      </c>
      <c r="P23" s="1">
        <f t="shared" si="10"/>
        <v>2.7634815593524018E-2</v>
      </c>
      <c r="Q23" s="1">
        <f t="shared" si="11"/>
        <v>0.10945690093438282</v>
      </c>
      <c r="R23" s="1">
        <f t="shared" si="12"/>
        <v>8.1953782898944283E-2</v>
      </c>
      <c r="S23">
        <f t="shared" si="13"/>
        <v>2.3437371483091985E-2</v>
      </c>
      <c r="T23" s="1">
        <f t="shared" si="14"/>
        <v>0.2148480553164191</v>
      </c>
    </row>
    <row r="24" spans="1:20" x14ac:dyDescent="0.25">
      <c r="A24">
        <v>12</v>
      </c>
      <c r="B24">
        <v>38.5</v>
      </c>
      <c r="C24">
        <v>3.35</v>
      </c>
      <c r="D24">
        <v>89</v>
      </c>
      <c r="E24">
        <v>30</v>
      </c>
      <c r="F24">
        <f t="shared" si="0"/>
        <v>0.46200000000000002</v>
      </c>
      <c r="G24">
        <f t="shared" si="1"/>
        <v>0.36525323574730356</v>
      </c>
      <c r="H24">
        <f t="shared" si="2"/>
        <v>0.79059141936645794</v>
      </c>
      <c r="I24" s="1">
        <f t="shared" si="3"/>
        <v>0.28199999999999997</v>
      </c>
      <c r="J24">
        <f t="shared" si="4"/>
        <v>9.674676425269646E-2</v>
      </c>
      <c r="K24">
        <f t="shared" si="5"/>
        <v>33333.333333333336</v>
      </c>
      <c r="L24" s="1">
        <f t="shared" si="6"/>
        <v>1.6649999999999998E-2</v>
      </c>
      <c r="M24" s="1">
        <f t="shared" si="7"/>
        <v>3.3299999999999996E-2</v>
      </c>
      <c r="N24" s="1">
        <f t="shared" si="8"/>
        <v>4.6796764252696466E-2</v>
      </c>
      <c r="O24">
        <f t="shared" si="9"/>
        <v>1.0903081664098622E-2</v>
      </c>
      <c r="P24" s="1">
        <f t="shared" si="10"/>
        <v>3.5893682588597847E-2</v>
      </c>
      <c r="Q24" s="1">
        <f t="shared" si="11"/>
        <v>0.1081168831168831</v>
      </c>
      <c r="R24" s="1">
        <f t="shared" si="12"/>
        <v>7.7691953654973694E-2</v>
      </c>
      <c r="S24">
        <f t="shared" si="13"/>
        <v>2.3599743861685327E-2</v>
      </c>
      <c r="T24" s="1">
        <f t="shared" si="14"/>
        <v>0.20940858063354212</v>
      </c>
    </row>
    <row r="25" spans="1:20" x14ac:dyDescent="0.25">
      <c r="A25">
        <v>12</v>
      </c>
      <c r="B25">
        <v>48.9</v>
      </c>
      <c r="C25">
        <v>3.35</v>
      </c>
      <c r="D25">
        <v>118</v>
      </c>
      <c r="E25">
        <v>23.5</v>
      </c>
      <c r="F25">
        <f t="shared" si="0"/>
        <v>0.58679999999999999</v>
      </c>
      <c r="G25">
        <f t="shared" si="1"/>
        <v>0.46240323574730352</v>
      </c>
      <c r="H25">
        <f t="shared" si="2"/>
        <v>0.78800824087815868</v>
      </c>
      <c r="I25" s="1">
        <f t="shared" si="3"/>
        <v>0.35999999999999993</v>
      </c>
      <c r="J25">
        <f t="shared" si="4"/>
        <v>0.12439676425269647</v>
      </c>
      <c r="K25">
        <f t="shared" si="5"/>
        <v>42553.191489361707</v>
      </c>
      <c r="L25" s="1">
        <f t="shared" si="6"/>
        <v>2.1255319148936171E-2</v>
      </c>
      <c r="M25" s="1">
        <f t="shared" si="7"/>
        <v>4.2510638297872341E-2</v>
      </c>
      <c r="N25" s="1">
        <f t="shared" si="8"/>
        <v>6.0630806805887963E-2</v>
      </c>
      <c r="O25">
        <f t="shared" si="9"/>
        <v>1.3803081664098625E-2</v>
      </c>
      <c r="P25" s="1">
        <f t="shared" si="10"/>
        <v>4.6827725141789338E-2</v>
      </c>
      <c r="Q25" s="1">
        <f t="shared" si="11"/>
        <v>0.10866727581255713</v>
      </c>
      <c r="R25" s="1">
        <f t="shared" si="12"/>
        <v>7.9801849253219731E-2</v>
      </c>
      <c r="S25">
        <f t="shared" si="13"/>
        <v>2.3522634056064459E-2</v>
      </c>
      <c r="T25" s="1">
        <f t="shared" si="14"/>
        <v>0.21199175912184132</v>
      </c>
    </row>
    <row r="26" spans="1:20" x14ac:dyDescent="0.25">
      <c r="A26">
        <v>12</v>
      </c>
      <c r="B26">
        <v>59.5</v>
      </c>
      <c r="C26">
        <v>3.35</v>
      </c>
      <c r="D26">
        <v>149</v>
      </c>
      <c r="E26">
        <v>19.399999999999999</v>
      </c>
      <c r="F26">
        <f t="shared" si="0"/>
        <v>0.71399999999999997</v>
      </c>
      <c r="G26">
        <f t="shared" si="1"/>
        <v>0.56625323574730357</v>
      </c>
      <c r="H26">
        <f t="shared" si="2"/>
        <v>0.79307175874972491</v>
      </c>
      <c r="I26" s="1">
        <f t="shared" si="3"/>
        <v>0.43608247422680407</v>
      </c>
      <c r="J26">
        <f t="shared" si="4"/>
        <v>0.14774676425269639</v>
      </c>
      <c r="K26">
        <f t="shared" si="5"/>
        <v>51546.391752577329</v>
      </c>
      <c r="L26" s="1">
        <f t="shared" si="6"/>
        <v>2.5747422680412371E-2</v>
      </c>
      <c r="M26" s="1">
        <f t="shared" si="7"/>
        <v>5.1494845360824743E-2</v>
      </c>
      <c r="N26" s="1">
        <f t="shared" si="8"/>
        <v>7.050449621145928E-2</v>
      </c>
      <c r="O26">
        <f t="shared" si="9"/>
        <v>1.6903081664098627E-2</v>
      </c>
      <c r="P26" s="1">
        <f t="shared" si="10"/>
        <v>5.3601414547360657E-2</v>
      </c>
      <c r="Q26" s="1">
        <f t="shared" si="11"/>
        <v>0.10818244823702677</v>
      </c>
      <c r="R26" s="1">
        <f t="shared" si="12"/>
        <v>7.5072009169972906E-2</v>
      </c>
      <c r="S26">
        <f t="shared" si="13"/>
        <v>2.3673783843275391E-2</v>
      </c>
      <c r="T26" s="1">
        <f t="shared" si="14"/>
        <v>0.20692824125027509</v>
      </c>
    </row>
    <row r="27" spans="1:20" x14ac:dyDescent="0.25">
      <c r="A27">
        <v>12</v>
      </c>
      <c r="B27">
        <v>70.400000000000006</v>
      </c>
      <c r="C27">
        <v>3.35</v>
      </c>
      <c r="D27">
        <v>179</v>
      </c>
      <c r="E27">
        <v>16.600000000000001</v>
      </c>
      <c r="F27">
        <f t="shared" si="0"/>
        <v>0.84480000000000011</v>
      </c>
      <c r="G27">
        <f t="shared" si="1"/>
        <v>0.66675323574730361</v>
      </c>
      <c r="H27">
        <f t="shared" si="2"/>
        <v>0.78924388701148618</v>
      </c>
      <c r="I27" s="1">
        <f t="shared" si="3"/>
        <v>0.50963855421686743</v>
      </c>
      <c r="J27">
        <f t="shared" si="4"/>
        <v>0.1780467642526965</v>
      </c>
      <c r="K27">
        <f t="shared" si="5"/>
        <v>60240.963855421687</v>
      </c>
      <c r="L27" s="1">
        <f t="shared" si="6"/>
        <v>3.0090361445783129E-2</v>
      </c>
      <c r="M27" s="1">
        <f t="shared" si="7"/>
        <v>6.0180722891566257E-2</v>
      </c>
      <c r="N27" s="1">
        <f t="shared" si="8"/>
        <v>8.7775679915347099E-2</v>
      </c>
      <c r="O27">
        <f t="shared" si="9"/>
        <v>1.990308166409863E-2</v>
      </c>
      <c r="P27" s="1">
        <f t="shared" si="10"/>
        <v>6.7872598251248473E-2</v>
      </c>
      <c r="Q27" s="1">
        <f t="shared" si="11"/>
        <v>0.10685497672508212</v>
      </c>
      <c r="R27" s="1">
        <f t="shared" si="12"/>
        <v>8.0341617248163424E-2</v>
      </c>
      <c r="S27">
        <f t="shared" si="13"/>
        <v>2.355951901526826E-2</v>
      </c>
      <c r="T27" s="1">
        <f t="shared" si="14"/>
        <v>0.21075611298851382</v>
      </c>
    </row>
    <row r="28" spans="1:20" x14ac:dyDescent="0.25">
      <c r="A28">
        <v>12</v>
      </c>
      <c r="B28">
        <v>81.599999999999994</v>
      </c>
      <c r="C28">
        <v>3.35</v>
      </c>
      <c r="D28">
        <v>210</v>
      </c>
      <c r="E28">
        <f>26/2</f>
        <v>13</v>
      </c>
      <c r="F28">
        <f t="shared" si="0"/>
        <v>0.97919999999999996</v>
      </c>
      <c r="G28">
        <f t="shared" si="1"/>
        <v>0.77060323574730361</v>
      </c>
      <c r="H28">
        <f t="shared" si="2"/>
        <v>0.786972258728864</v>
      </c>
      <c r="I28" s="1">
        <f t="shared" si="3"/>
        <v>0.65076923076923066</v>
      </c>
      <c r="J28">
        <f t="shared" si="4"/>
        <v>0.20859676425269635</v>
      </c>
      <c r="K28">
        <f t="shared" si="5"/>
        <v>76923.076923076922</v>
      </c>
      <c r="L28" s="1">
        <f t="shared" si="6"/>
        <v>3.8423076923076921E-2</v>
      </c>
      <c r="M28" s="1">
        <f t="shared" si="7"/>
        <v>7.6846153846153842E-2</v>
      </c>
      <c r="N28" s="1">
        <f t="shared" si="8"/>
        <v>9.3327533483465591E-2</v>
      </c>
      <c r="O28">
        <f t="shared" si="9"/>
        <v>2.3003081664098632E-2</v>
      </c>
      <c r="P28" s="1">
        <f t="shared" si="10"/>
        <v>7.0324451819366959E-2</v>
      </c>
      <c r="Q28" s="1">
        <f t="shared" si="11"/>
        <v>0.11771776018099547</v>
      </c>
      <c r="R28" s="1">
        <f t="shared" si="12"/>
        <v>7.1818271874353509E-2</v>
      </c>
      <c r="S28">
        <f t="shared" si="13"/>
        <v>2.3491709215787002E-2</v>
      </c>
      <c r="T28" s="1">
        <f t="shared" si="14"/>
        <v>0.21302774127113597</v>
      </c>
    </row>
    <row r="29" spans="1:20" x14ac:dyDescent="0.25">
      <c r="A29">
        <v>12</v>
      </c>
      <c r="B29">
        <v>92.1</v>
      </c>
      <c r="C29">
        <v>3.35</v>
      </c>
      <c r="D29">
        <v>239</v>
      </c>
      <c r="E29">
        <f>37.4/3</f>
        <v>12.466666666666667</v>
      </c>
      <c r="F29">
        <f t="shared" si="0"/>
        <v>1.1051999999999997</v>
      </c>
      <c r="G29">
        <f t="shared" si="1"/>
        <v>0.86775323574730356</v>
      </c>
      <c r="H29">
        <f t="shared" si="2"/>
        <v>0.78515493643440437</v>
      </c>
      <c r="I29" s="1">
        <f t="shared" si="3"/>
        <v>0.67860962566844907</v>
      </c>
      <c r="J29">
        <f t="shared" si="4"/>
        <v>0.23744676425269617</v>
      </c>
      <c r="K29">
        <f t="shared" si="5"/>
        <v>80213.903743315503</v>
      </c>
      <c r="L29" s="1">
        <f t="shared" si="6"/>
        <v>4.0066844919786092E-2</v>
      </c>
      <c r="M29" s="1">
        <f t="shared" si="7"/>
        <v>8.0133689839572184E-2</v>
      </c>
      <c r="N29" s="1">
        <f t="shared" si="8"/>
        <v>0.11724622949333789</v>
      </c>
      <c r="O29">
        <f t="shared" si="9"/>
        <v>2.5903081664098639E-2</v>
      </c>
      <c r="P29" s="1">
        <f t="shared" si="10"/>
        <v>9.1343147829239246E-2</v>
      </c>
      <c r="Q29" s="1">
        <f t="shared" si="11"/>
        <v>0.10875907958682438</v>
      </c>
      <c r="R29" s="1">
        <f t="shared" si="12"/>
        <v>8.2648523189684464E-2</v>
      </c>
      <c r="S29">
        <f t="shared" si="13"/>
        <v>2.3437460789086723E-2</v>
      </c>
      <c r="T29" s="1">
        <f t="shared" si="14"/>
        <v>0.21484506356559557</v>
      </c>
    </row>
    <row r="30" spans="1:20" x14ac:dyDescent="0.25">
      <c r="A30">
        <v>12</v>
      </c>
      <c r="B30">
        <v>103</v>
      </c>
      <c r="C30">
        <v>3.35</v>
      </c>
      <c r="D30">
        <v>270</v>
      </c>
      <c r="E30">
        <v>11</v>
      </c>
      <c r="F30">
        <f t="shared" si="0"/>
        <v>1.236</v>
      </c>
      <c r="G30">
        <f t="shared" si="1"/>
        <v>0.97160323574730356</v>
      </c>
      <c r="H30">
        <f t="shared" si="2"/>
        <v>0.78608676031335245</v>
      </c>
      <c r="I30" s="1">
        <f t="shared" si="3"/>
        <v>0.76909090909090905</v>
      </c>
      <c r="J30">
        <f t="shared" si="4"/>
        <v>0.26439676425269643</v>
      </c>
      <c r="K30">
        <f t="shared" si="5"/>
        <v>90909.090909090912</v>
      </c>
      <c r="L30" s="1">
        <f t="shared" si="6"/>
        <v>4.5409090909090906E-2</v>
      </c>
      <c r="M30" s="1">
        <f t="shared" si="7"/>
        <v>9.0818181818181812E-2</v>
      </c>
      <c r="N30" s="1">
        <f t="shared" si="8"/>
        <v>0.12816949152542373</v>
      </c>
      <c r="O30">
        <f t="shared" si="9"/>
        <v>2.9003081664098644E-2</v>
      </c>
      <c r="P30" s="1">
        <f t="shared" si="10"/>
        <v>9.9166409861325078E-2</v>
      </c>
      <c r="Q30" s="1">
        <f t="shared" si="11"/>
        <v>0.110216240070609</v>
      </c>
      <c r="R30" s="1">
        <f t="shared" si="12"/>
        <v>8.0231723188774334E-2</v>
      </c>
      <c r="S30">
        <f t="shared" si="13"/>
        <v>2.3465276427264276E-2</v>
      </c>
      <c r="T30" s="1">
        <f t="shared" si="14"/>
        <v>0.21391323968664763</v>
      </c>
    </row>
    <row r="31" spans="1:20" x14ac:dyDescent="0.25">
      <c r="I31" s="1"/>
      <c r="L31" s="1">
        <v>2.7E-6</v>
      </c>
      <c r="M31" s="1">
        <v>7.4000000000000003E-6</v>
      </c>
      <c r="N31" s="1"/>
      <c r="P31" s="1"/>
      <c r="T31" s="1"/>
    </row>
    <row r="32" spans="1:20" x14ac:dyDescent="0.25">
      <c r="I32" s="1"/>
      <c r="L32" s="1">
        <f>$B$4^2*($B$9+$B$8)*L31/3</f>
        <v>3.6450000000000001E-7</v>
      </c>
      <c r="M32" s="1">
        <f>$B$4^2*($B$9+$B$8)*M31/3</f>
        <v>9.9899999999999988E-7</v>
      </c>
      <c r="N32" s="1"/>
      <c r="P32" s="1"/>
      <c r="T32" s="1"/>
    </row>
    <row r="33" spans="1:20" x14ac:dyDescent="0.25">
      <c r="A33">
        <v>14</v>
      </c>
      <c r="B33">
        <v>6.63</v>
      </c>
      <c r="C33">
        <v>3.35</v>
      </c>
      <c r="D33">
        <v>0</v>
      </c>
      <c r="E33">
        <v>134</v>
      </c>
      <c r="F33">
        <f t="shared" si="0"/>
        <v>9.282E-2</v>
      </c>
      <c r="G33">
        <f t="shared" si="1"/>
        <v>6.710323574730355E-2</v>
      </c>
      <c r="H33">
        <f t="shared" si="2"/>
        <v>0.72293940688756253</v>
      </c>
      <c r="I33" s="1">
        <f t="shared" si="3"/>
        <v>6.3134328358208952E-2</v>
      </c>
      <c r="J33">
        <f t="shared" si="4"/>
        <v>2.571676425269645E-2</v>
      </c>
      <c r="K33">
        <f t="shared" si="5"/>
        <v>7462.686567164179</v>
      </c>
      <c r="L33" s="1">
        <f>K33*L$32</f>
        <v>2.7201492537313435E-3</v>
      </c>
      <c r="M33" s="1">
        <f>K33*M$32</f>
        <v>7.4552238805970141E-3</v>
      </c>
      <c r="N33" s="1">
        <f t="shared" si="8"/>
        <v>1.5541391118368093E-2</v>
      </c>
      <c r="O33">
        <f>($B$11-C33)*(D33/1000+$B$6)</f>
        <v>2.0030816640986149E-3</v>
      </c>
      <c r="P33" s="1">
        <f t="shared" si="10"/>
        <v>1.3538309454269478E-2</v>
      </c>
      <c r="Q33" s="1">
        <f>(L33+M33)/F33</f>
        <v>0.10962479136315834</v>
      </c>
      <c r="R33" s="1">
        <f>P33/F33</f>
        <v>0.14585552094666535</v>
      </c>
      <c r="S33">
        <f t="shared" si="13"/>
        <v>2.1580280802613823E-2</v>
      </c>
      <c r="T33" s="1">
        <f t="shared" si="14"/>
        <v>0.27706059311243753</v>
      </c>
    </row>
    <row r="34" spans="1:20" x14ac:dyDescent="0.25">
      <c r="A34">
        <v>14</v>
      </c>
      <c r="B34">
        <v>15.2</v>
      </c>
      <c r="C34">
        <v>3.35</v>
      </c>
      <c r="D34">
        <v>29</v>
      </c>
      <c r="E34">
        <v>60</v>
      </c>
      <c r="F34">
        <f t="shared" si="0"/>
        <v>0.21279999999999999</v>
      </c>
      <c r="G34">
        <f t="shared" si="1"/>
        <v>0.16425323574730355</v>
      </c>
      <c r="H34">
        <f t="shared" si="2"/>
        <v>0.7718667093388325</v>
      </c>
      <c r="I34" s="1">
        <f t="shared" si="3"/>
        <v>0.14099999999999999</v>
      </c>
      <c r="J34">
        <f t="shared" si="4"/>
        <v>4.8546764252696439E-2</v>
      </c>
      <c r="K34">
        <f t="shared" si="5"/>
        <v>16666.666666666668</v>
      </c>
      <c r="L34" s="1">
        <f t="shared" ref="L34:L42" si="15">K34*L$32</f>
        <v>6.0750000000000005E-3</v>
      </c>
      <c r="M34" s="1">
        <f t="shared" ref="M34:M42" si="16">K34*M$32</f>
        <v>1.6649999999999998E-2</v>
      </c>
      <c r="N34" s="1">
        <f t="shared" si="8"/>
        <v>2.5821764252696444E-2</v>
      </c>
      <c r="O34">
        <f t="shared" ref="O34:O42" si="17">($B$11-C34)*(D34/1000+$B$6)</f>
        <v>4.9030816640986173E-3</v>
      </c>
      <c r="P34" s="1">
        <f t="shared" si="10"/>
        <v>2.0918682588597828E-2</v>
      </c>
      <c r="Q34" s="1">
        <f t="shared" ref="Q34:Q42" si="18">(L34+M34)/F34</f>
        <v>0.10679041353383459</v>
      </c>
      <c r="R34" s="1">
        <f t="shared" ref="R34:R42" si="19">P34/F34</f>
        <v>9.830207983363641E-2</v>
      </c>
      <c r="S34">
        <f t="shared" si="13"/>
        <v>2.304079729369651E-2</v>
      </c>
      <c r="T34" s="1">
        <f t="shared" si="14"/>
        <v>0.2281332906611675</v>
      </c>
    </row>
    <row r="35" spans="1:20" x14ac:dyDescent="0.25">
      <c r="A35">
        <v>14</v>
      </c>
      <c r="B35">
        <v>24</v>
      </c>
      <c r="C35">
        <v>3.35</v>
      </c>
      <c r="D35">
        <v>59</v>
      </c>
      <c r="E35">
        <v>38</v>
      </c>
      <c r="F35">
        <f t="shared" si="0"/>
        <v>0.33600000000000002</v>
      </c>
      <c r="G35">
        <f t="shared" si="1"/>
        <v>0.26475323574730353</v>
      </c>
      <c r="H35">
        <f t="shared" si="2"/>
        <v>0.78795605877173669</v>
      </c>
      <c r="I35" s="1">
        <f t="shared" si="3"/>
        <v>0.22263157894736837</v>
      </c>
      <c r="J35">
        <f t="shared" si="4"/>
        <v>7.1246764252696493E-2</v>
      </c>
      <c r="K35">
        <f t="shared" si="5"/>
        <v>26315.789473684214</v>
      </c>
      <c r="L35" s="1">
        <f t="shared" si="15"/>
        <v>9.5921052631578966E-3</v>
      </c>
      <c r="M35" s="1">
        <f t="shared" si="16"/>
        <v>2.6289473684210526E-2</v>
      </c>
      <c r="N35" s="1">
        <f t="shared" si="8"/>
        <v>3.5365185305328076E-2</v>
      </c>
      <c r="O35">
        <f t="shared" si="17"/>
        <v>7.9030816640986191E-3</v>
      </c>
      <c r="P35" s="1">
        <f t="shared" si="10"/>
        <v>2.7462103641229457E-2</v>
      </c>
      <c r="Q35" s="1">
        <f t="shared" si="18"/>
        <v>0.10679041353383459</v>
      </c>
      <c r="R35" s="1">
        <f t="shared" si="19"/>
        <v>8.1732451313182908E-2</v>
      </c>
      <c r="S35">
        <f t="shared" si="13"/>
        <v>2.3521076381245887E-2</v>
      </c>
      <c r="T35" s="1">
        <f t="shared" si="14"/>
        <v>0.21204394122826339</v>
      </c>
    </row>
    <row r="36" spans="1:20" x14ac:dyDescent="0.25">
      <c r="A36">
        <v>14</v>
      </c>
      <c r="B36">
        <v>32.799999999999997</v>
      </c>
      <c r="C36">
        <v>3.35</v>
      </c>
      <c r="D36">
        <v>88</v>
      </c>
      <c r="E36">
        <v>28</v>
      </c>
      <c r="F36">
        <f t="shared" si="0"/>
        <v>0.45919999999999994</v>
      </c>
      <c r="G36">
        <f t="shared" si="1"/>
        <v>0.36190323574730354</v>
      </c>
      <c r="H36">
        <f t="shared" si="2"/>
        <v>0.78811680258559147</v>
      </c>
      <c r="I36" s="1">
        <f t="shared" si="3"/>
        <v>0.3021428571428571</v>
      </c>
      <c r="J36">
        <f t="shared" si="4"/>
        <v>9.7296764252696399E-2</v>
      </c>
      <c r="K36">
        <f t="shared" si="5"/>
        <v>35714.285714285717</v>
      </c>
      <c r="L36" s="1">
        <f t="shared" si="15"/>
        <v>1.3017857142857145E-2</v>
      </c>
      <c r="M36" s="1">
        <f t="shared" si="16"/>
        <v>3.5678571428571428E-2</v>
      </c>
      <c r="N36" s="1">
        <f t="shared" si="8"/>
        <v>4.8600335681267821E-2</v>
      </c>
      <c r="O36">
        <f t="shared" si="17"/>
        <v>1.0803081664098622E-2</v>
      </c>
      <c r="P36" s="1">
        <f t="shared" si="10"/>
        <v>3.7797254017169199E-2</v>
      </c>
      <c r="Q36" s="1">
        <f t="shared" si="18"/>
        <v>0.10604622946739672</v>
      </c>
      <c r="R36" s="1">
        <f t="shared" si="19"/>
        <v>8.2311093242964289E-2</v>
      </c>
      <c r="S36">
        <f t="shared" si="13"/>
        <v>2.3525874704047527E-2</v>
      </c>
      <c r="T36" s="1">
        <f t="shared" si="14"/>
        <v>0.21188319741440853</v>
      </c>
    </row>
    <row r="37" spans="1:20" x14ac:dyDescent="0.25">
      <c r="A37">
        <v>14</v>
      </c>
      <c r="B37">
        <v>42</v>
      </c>
      <c r="C37">
        <v>3.35</v>
      </c>
      <c r="D37">
        <v>118</v>
      </c>
      <c r="E37">
        <v>22.3</v>
      </c>
      <c r="F37">
        <f t="shared" si="0"/>
        <v>0.58799999999999997</v>
      </c>
      <c r="G37">
        <f t="shared" si="1"/>
        <v>0.46240323574730352</v>
      </c>
      <c r="H37">
        <f t="shared" si="2"/>
        <v>0.7864000607947339</v>
      </c>
      <c r="I37" s="1">
        <f t="shared" si="3"/>
        <v>0.37937219730941696</v>
      </c>
      <c r="J37">
        <f t="shared" si="4"/>
        <v>0.12559676425269645</v>
      </c>
      <c r="K37">
        <f t="shared" si="5"/>
        <v>44843.04932735426</v>
      </c>
      <c r="L37" s="1">
        <f t="shared" si="15"/>
        <v>1.6345291479820629E-2</v>
      </c>
      <c r="M37" s="1">
        <f t="shared" si="16"/>
        <v>4.47982062780269E-2</v>
      </c>
      <c r="N37" s="1">
        <f t="shared" si="8"/>
        <v>6.4453266494848921E-2</v>
      </c>
      <c r="O37">
        <f t="shared" si="17"/>
        <v>1.3803081664098625E-2</v>
      </c>
      <c r="P37" s="1">
        <f t="shared" si="10"/>
        <v>5.0650184830750296E-2</v>
      </c>
      <c r="Q37" s="1">
        <f t="shared" si="18"/>
        <v>0.1039855404045026</v>
      </c>
      <c r="R37" s="1">
        <f t="shared" si="19"/>
        <v>8.613977012032363E-2</v>
      </c>
      <c r="S37">
        <f t="shared" si="13"/>
        <v>2.3474628680439841E-2</v>
      </c>
      <c r="T37" s="1">
        <f t="shared" si="14"/>
        <v>0.21359993920526607</v>
      </c>
    </row>
    <row r="38" spans="1:20" x14ac:dyDescent="0.25">
      <c r="A38">
        <v>14</v>
      </c>
      <c r="B38">
        <v>51</v>
      </c>
      <c r="C38">
        <v>3.35</v>
      </c>
      <c r="D38">
        <v>149</v>
      </c>
      <c r="E38">
        <v>18.399999999999999</v>
      </c>
      <c r="F38">
        <f t="shared" si="0"/>
        <v>0.71399999999999997</v>
      </c>
      <c r="G38">
        <f t="shared" si="1"/>
        <v>0.56625323574730357</v>
      </c>
      <c r="H38">
        <f t="shared" si="2"/>
        <v>0.79307175874972491</v>
      </c>
      <c r="I38" s="1">
        <f t="shared" si="3"/>
        <v>0.45978260869565213</v>
      </c>
      <c r="J38">
        <f t="shared" si="4"/>
        <v>0.14774676425269639</v>
      </c>
      <c r="K38">
        <f t="shared" si="5"/>
        <v>54347.826086956535</v>
      </c>
      <c r="L38" s="1">
        <f t="shared" si="15"/>
        <v>1.9809782608695658E-2</v>
      </c>
      <c r="M38" s="1">
        <f t="shared" si="16"/>
        <v>5.4293478260869568E-2</v>
      </c>
      <c r="N38" s="1">
        <f t="shared" si="8"/>
        <v>7.3643503383131179E-2</v>
      </c>
      <c r="O38">
        <f t="shared" si="17"/>
        <v>1.6903081664098627E-2</v>
      </c>
      <c r="P38" s="1">
        <f t="shared" si="10"/>
        <v>5.6740421719032555E-2</v>
      </c>
      <c r="Q38" s="1">
        <f t="shared" si="18"/>
        <v>0.10378607964925103</v>
      </c>
      <c r="R38" s="1">
        <f t="shared" si="19"/>
        <v>7.9468377757748676E-2</v>
      </c>
      <c r="S38">
        <f t="shared" si="13"/>
        <v>2.3673783843275391E-2</v>
      </c>
      <c r="T38" s="1">
        <f t="shared" si="14"/>
        <v>0.20692824125027509</v>
      </c>
    </row>
    <row r="39" spans="1:20" x14ac:dyDescent="0.25">
      <c r="A39">
        <v>14</v>
      </c>
      <c r="B39">
        <v>60.2</v>
      </c>
      <c r="C39">
        <v>3.35</v>
      </c>
      <c r="D39">
        <v>179</v>
      </c>
      <c r="E39">
        <f>50/3.2</f>
        <v>15.625</v>
      </c>
      <c r="F39">
        <f t="shared" si="0"/>
        <v>0.8428000000000001</v>
      </c>
      <c r="G39">
        <f t="shared" si="1"/>
        <v>0.66675323574730361</v>
      </c>
      <c r="H39">
        <f t="shared" si="2"/>
        <v>0.79111679609314611</v>
      </c>
      <c r="I39" s="1">
        <f t="shared" si="3"/>
        <v>0.54143999999999992</v>
      </c>
      <c r="J39">
        <f t="shared" si="4"/>
        <v>0.1760467642526965</v>
      </c>
      <c r="K39">
        <f t="shared" si="5"/>
        <v>64000</v>
      </c>
      <c r="L39" s="1">
        <f t="shared" si="15"/>
        <v>2.3328000000000002E-2</v>
      </c>
      <c r="M39" s="1">
        <f t="shared" si="16"/>
        <v>6.3935999999999993E-2</v>
      </c>
      <c r="N39" s="1">
        <f t="shared" si="8"/>
        <v>8.8782764252696489E-2</v>
      </c>
      <c r="O39">
        <f t="shared" si="17"/>
        <v>1.990308166409863E-2</v>
      </c>
      <c r="P39" s="1">
        <f t="shared" si="10"/>
        <v>6.8879682588597863E-2</v>
      </c>
      <c r="Q39" s="1">
        <f t="shared" si="18"/>
        <v>0.10354057902230658</v>
      </c>
      <c r="R39" s="1">
        <f t="shared" si="19"/>
        <v>8.1727198135498169E-2</v>
      </c>
      <c r="S39">
        <f t="shared" si="13"/>
        <v>2.3615426749049154E-2</v>
      </c>
      <c r="T39" s="1">
        <f t="shared" si="14"/>
        <v>0.20888320390685389</v>
      </c>
    </row>
    <row r="40" spans="1:20" x14ac:dyDescent="0.25">
      <c r="A40">
        <v>14</v>
      </c>
      <c r="B40">
        <v>69.599999999999994</v>
      </c>
      <c r="C40">
        <v>3.35</v>
      </c>
      <c r="D40">
        <v>209</v>
      </c>
      <c r="E40">
        <f>26.8/2</f>
        <v>13.4</v>
      </c>
      <c r="F40">
        <f t="shared" si="0"/>
        <v>0.97439999999999982</v>
      </c>
      <c r="G40">
        <f t="shared" si="1"/>
        <v>0.76725323574730353</v>
      </c>
      <c r="H40">
        <f t="shared" si="2"/>
        <v>0.78741095622670743</v>
      </c>
      <c r="I40" s="1">
        <f t="shared" si="3"/>
        <v>0.63134328358208935</v>
      </c>
      <c r="J40">
        <f t="shared" si="4"/>
        <v>0.20714676425269629</v>
      </c>
      <c r="K40">
        <f t="shared" si="5"/>
        <v>74626.86567164179</v>
      </c>
      <c r="L40" s="1">
        <f t="shared" si="15"/>
        <v>2.7201492537313434E-2</v>
      </c>
      <c r="M40" s="1">
        <f t="shared" si="16"/>
        <v>7.4552238805970145E-2</v>
      </c>
      <c r="N40" s="1">
        <f t="shared" si="8"/>
        <v>0.10539303290941271</v>
      </c>
      <c r="O40">
        <f t="shared" si="17"/>
        <v>2.2903081664098632E-2</v>
      </c>
      <c r="P40" s="1">
        <f t="shared" si="10"/>
        <v>8.248995124531408E-2</v>
      </c>
      <c r="Q40" s="1">
        <f t="shared" si="18"/>
        <v>0.10442706418645689</v>
      </c>
      <c r="R40" s="1">
        <f t="shared" si="19"/>
        <v>8.4657174923351911E-2</v>
      </c>
      <c r="S40">
        <f t="shared" si="13"/>
        <v>2.3504804663483824E-2</v>
      </c>
      <c r="T40" s="1">
        <f t="shared" si="14"/>
        <v>0.21258904377329263</v>
      </c>
    </row>
    <row r="41" spans="1:20" x14ac:dyDescent="0.25">
      <c r="A41">
        <v>14</v>
      </c>
      <c r="B41">
        <v>78</v>
      </c>
      <c r="C41">
        <v>3.35</v>
      </c>
      <c r="D41">
        <v>239</v>
      </c>
      <c r="E41">
        <f>36/3</f>
        <v>12</v>
      </c>
      <c r="F41">
        <f t="shared" si="0"/>
        <v>1.0920000000000001</v>
      </c>
      <c r="G41">
        <f t="shared" si="1"/>
        <v>0.86775323574730356</v>
      </c>
      <c r="H41">
        <f t="shared" si="2"/>
        <v>0.79464582028141351</v>
      </c>
      <c r="I41" s="1">
        <f t="shared" si="3"/>
        <v>0.70499999999999996</v>
      </c>
      <c r="J41">
        <f t="shared" si="4"/>
        <v>0.22424676425269652</v>
      </c>
      <c r="K41">
        <f t="shared" si="5"/>
        <v>83333.333333333328</v>
      </c>
      <c r="L41" s="1">
        <f t="shared" si="15"/>
        <v>3.0374999999999999E-2</v>
      </c>
      <c r="M41" s="1">
        <f t="shared" si="16"/>
        <v>8.3249999999999991E-2</v>
      </c>
      <c r="N41" s="1">
        <f t="shared" si="8"/>
        <v>0.11062176425269654</v>
      </c>
      <c r="O41">
        <f t="shared" si="17"/>
        <v>2.5903081664098639E-2</v>
      </c>
      <c r="P41" s="1">
        <f t="shared" si="10"/>
        <v>8.471868258859791E-2</v>
      </c>
      <c r="Q41" s="1">
        <f t="shared" si="18"/>
        <v>0.10405219780219778</v>
      </c>
      <c r="R41" s="1">
        <f t="shared" si="19"/>
        <v>7.758121116171969E-2</v>
      </c>
      <c r="S41">
        <f t="shared" si="13"/>
        <v>2.3720770754669083E-2</v>
      </c>
      <c r="T41" s="1">
        <f t="shared" si="14"/>
        <v>0.20535417971858655</v>
      </c>
    </row>
    <row r="42" spans="1:20" x14ac:dyDescent="0.25">
      <c r="I42" s="1"/>
      <c r="L42" s="1"/>
      <c r="M42" s="1"/>
      <c r="N42" s="1"/>
      <c r="P42" s="1"/>
      <c r="Q42" s="1"/>
      <c r="R42" s="1"/>
      <c r="T42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2015-01-21T15:40:45Z</dcterms:created>
  <dcterms:modified xsi:type="dcterms:W3CDTF">2015-01-21T23:38:56Z</dcterms:modified>
</cp:coreProperties>
</file>