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8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9.xml" ContentType="application/vnd.openxmlformats-officedocument.themeOverride+xml"/>
  <Override PartName="/xl/drawings/drawing4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TechnicalAdvisoryGroups\Video\StategicVisionForImagery\StrategicVisionReport\"/>
    </mc:Choice>
  </mc:AlternateContent>
  <bookViews>
    <workbookView xWindow="0" yWindow="0" windowWidth="29220" windowHeight="12876" firstSheet="1" activeTab="2"/>
  </bookViews>
  <sheets>
    <sheet name="DecisionMartix" sheetId="14" r:id="rId1"/>
    <sheet name="StorageCharts" sheetId="13" r:id="rId2"/>
    <sheet name="DataStorageAll+4K+Archive" sheetId="12" r:id="rId3"/>
    <sheet name="StorageCostCalculations" sheetId="5" r:id="rId4"/>
    <sheet name="ConvertingCharts" sheetId="15" r:id="rId5"/>
    <sheet name="ConvertingVideoArchive" sheetId="11" r:id="rId6"/>
    <sheet name="LTO Tape Costs" sheetId="3" r:id="rId7"/>
    <sheet name="D5 TapeBuys" sheetId="2" r:id="rId8"/>
    <sheet name="MBARIDataStorProjections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2" l="1"/>
  <c r="D17" i="12"/>
  <c r="G8" i="12"/>
  <c r="K7" i="5" l="1"/>
  <c r="G4" i="11" l="1"/>
  <c r="C7" i="11" l="1"/>
  <c r="E5" i="11"/>
  <c r="E4" i="11"/>
  <c r="E3" i="11"/>
  <c r="E7" i="11" l="1"/>
  <c r="B11" i="11"/>
  <c r="G6" i="11"/>
  <c r="G5" i="11"/>
  <c r="B15" i="11"/>
  <c r="D25" i="12"/>
  <c r="B14" i="11" s="1"/>
  <c r="D4" i="11" l="1"/>
  <c r="D3" i="11"/>
  <c r="D5" i="11"/>
  <c r="D6" i="11"/>
  <c r="D32" i="12"/>
  <c r="C34" i="5"/>
  <c r="C32" i="5"/>
  <c r="B19" i="11"/>
  <c r="B24" i="11" s="1"/>
  <c r="B17" i="11"/>
  <c r="J5" i="12" l="1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E22" i="12"/>
  <c r="E21" i="12"/>
  <c r="E20" i="12"/>
  <c r="E23" i="12"/>
  <c r="D27" i="12"/>
  <c r="F20" i="12" l="1"/>
  <c r="B5" i="12" s="1"/>
  <c r="C31" i="5"/>
  <c r="B16" i="11"/>
  <c r="L4" i="12"/>
  <c r="B6" i="12" l="1"/>
  <c r="B7" i="12" l="1"/>
  <c r="D29" i="12"/>
  <c r="I21" i="12"/>
  <c r="G3" i="11"/>
  <c r="C11" i="5"/>
  <c r="C10" i="5"/>
  <c r="E14" i="5"/>
  <c r="F3" i="5"/>
  <c r="E7" i="5"/>
  <c r="D7" i="5"/>
  <c r="F5" i="5"/>
  <c r="B5" i="5"/>
  <c r="C5" i="5" s="1"/>
  <c r="B4" i="5"/>
  <c r="C4" i="5" s="1"/>
  <c r="B28" i="5"/>
  <c r="H17" i="5" s="1"/>
  <c r="B3" i="5"/>
  <c r="C6" i="5"/>
  <c r="F4" i="5"/>
  <c r="F10" i="5"/>
  <c r="F11" i="5"/>
  <c r="C26" i="5"/>
  <c r="B12" i="5" l="1"/>
  <c r="C12" i="5"/>
  <c r="B13" i="5"/>
  <c r="C13" i="5" s="1"/>
  <c r="C14" i="5" s="1"/>
  <c r="F7" i="5"/>
  <c r="N4" i="12" s="1"/>
  <c r="F3" i="11"/>
  <c r="B8" i="12"/>
  <c r="F21" i="12"/>
  <c r="C33" i="5"/>
  <c r="B18" i="11"/>
  <c r="F22" i="12"/>
  <c r="G6" i="12" s="1"/>
  <c r="G7" i="12" s="1"/>
  <c r="G9" i="12" s="1"/>
  <c r="G10" i="12" s="1"/>
  <c r="G11" i="12" s="1"/>
  <c r="G12" i="12" s="1"/>
  <c r="G13" i="12" s="1"/>
  <c r="G14" i="12" s="1"/>
  <c r="G15" i="12" s="1"/>
  <c r="G16" i="12" s="1"/>
  <c r="H5" i="12"/>
  <c r="C5" i="12"/>
  <c r="J21" i="12"/>
  <c r="H7" i="5"/>
  <c r="K24" i="12" s="1"/>
  <c r="H14" i="5"/>
  <c r="K27" i="12" s="1"/>
  <c r="F14" i="5"/>
  <c r="B7" i="5"/>
  <c r="C3" i="5"/>
  <c r="C7" i="5" s="1"/>
  <c r="E7" i="3"/>
  <c r="D26" i="5" s="1"/>
  <c r="E26" i="5" s="1"/>
  <c r="L21" i="12" s="1"/>
  <c r="F5" i="11" s="1"/>
  <c r="E6" i="3"/>
  <c r="E5" i="3"/>
  <c r="E4" i="3"/>
  <c r="E3" i="3"/>
  <c r="F4" i="11" l="1"/>
  <c r="K21" i="12"/>
  <c r="L23" i="12"/>
  <c r="M8" i="12"/>
  <c r="B14" i="5"/>
  <c r="F7" i="11"/>
  <c r="H6" i="12"/>
  <c r="H7" i="12" s="1"/>
  <c r="H8" i="12" s="1"/>
  <c r="N5" i="12"/>
  <c r="B9" i="12"/>
  <c r="E6" i="12"/>
  <c r="E7" i="12" s="1"/>
  <c r="E8" i="12" s="1"/>
  <c r="E9" i="12" s="1"/>
  <c r="E10" i="12" s="1"/>
  <c r="E11" i="12" s="1"/>
  <c r="D6" i="12"/>
  <c r="F6" i="12"/>
  <c r="L5" i="12"/>
  <c r="O5" i="12" s="1"/>
  <c r="C6" i="12"/>
  <c r="C7" i="12" s="1"/>
  <c r="M7" i="12"/>
  <c r="M4" i="12"/>
  <c r="M5" i="12"/>
  <c r="M6" i="12"/>
  <c r="O4" i="12"/>
  <c r="D7" i="11"/>
  <c r="E8" i="11" s="1"/>
  <c r="E9" i="11" s="1"/>
  <c r="F17" i="5"/>
  <c r="G14" i="5"/>
  <c r="K26" i="12" s="1"/>
  <c r="G7" i="5"/>
  <c r="F13" i="2"/>
  <c r="G13" i="2" s="1"/>
  <c r="G15" i="2" s="1"/>
  <c r="E47" i="1"/>
  <c r="F47" i="1" l="1"/>
  <c r="L26" i="12"/>
  <c r="M10" i="12"/>
  <c r="M9" i="12"/>
  <c r="K23" i="12"/>
  <c r="S4" i="12" s="1"/>
  <c r="I7" i="5"/>
  <c r="B10" i="12"/>
  <c r="P9" i="12"/>
  <c r="U6" i="12"/>
  <c r="I6" i="12"/>
  <c r="I16" i="12"/>
  <c r="V29" i="12" s="1"/>
  <c r="I12" i="12"/>
  <c r="I8" i="12"/>
  <c r="N8" i="12" s="1"/>
  <c r="I15" i="12"/>
  <c r="I11" i="12"/>
  <c r="I7" i="12"/>
  <c r="N7" i="12" s="1"/>
  <c r="I14" i="12"/>
  <c r="I13" i="12"/>
  <c r="I9" i="12"/>
  <c r="I10" i="12"/>
  <c r="E12" i="12"/>
  <c r="U4" i="12"/>
  <c r="D7" i="12"/>
  <c r="F7" i="12"/>
  <c r="T4" i="12"/>
  <c r="R6" i="12"/>
  <c r="T5" i="12"/>
  <c r="V4" i="12"/>
  <c r="R4" i="12"/>
  <c r="W4" i="12"/>
  <c r="Q4" i="12"/>
  <c r="W5" i="12"/>
  <c r="V8" i="12"/>
  <c r="Q6" i="12"/>
  <c r="R5" i="12"/>
  <c r="V5" i="12"/>
  <c r="Q5" i="12"/>
  <c r="V6" i="12"/>
  <c r="V7" i="12"/>
  <c r="H9" i="12"/>
  <c r="V9" i="12" s="1"/>
  <c r="M15" i="12"/>
  <c r="M11" i="12"/>
  <c r="M16" i="12"/>
  <c r="M12" i="12"/>
  <c r="M13" i="12"/>
  <c r="M14" i="12"/>
  <c r="Q7" i="12"/>
  <c r="C8" i="12"/>
  <c r="G17" i="5"/>
  <c r="J14" i="5"/>
  <c r="I14" i="5"/>
  <c r="J15" i="5"/>
  <c r="I15" i="5"/>
  <c r="J8" i="5"/>
  <c r="J7" i="5"/>
  <c r="I8" i="5"/>
  <c r="S5" i="12" l="1"/>
  <c r="T6" i="12"/>
  <c r="S6" i="12"/>
  <c r="P4" i="12"/>
  <c r="P5" i="12"/>
  <c r="P6" i="12"/>
  <c r="P7" i="12"/>
  <c r="P8" i="12"/>
  <c r="R7" i="12"/>
  <c r="U5" i="12"/>
  <c r="AA5" i="12" s="1"/>
  <c r="U29" i="12"/>
  <c r="N9" i="12"/>
  <c r="B11" i="12"/>
  <c r="P10" i="12"/>
  <c r="U30" i="12"/>
  <c r="V30" i="12"/>
  <c r="W6" i="12"/>
  <c r="AA6" i="12" s="1"/>
  <c r="N6" i="12"/>
  <c r="U7" i="12"/>
  <c r="S7" i="12"/>
  <c r="W13" i="12"/>
  <c r="W8" i="12"/>
  <c r="L6" i="12"/>
  <c r="O6" i="12" s="1"/>
  <c r="W9" i="12"/>
  <c r="W16" i="12"/>
  <c r="W14" i="12"/>
  <c r="W7" i="12"/>
  <c r="W12" i="12"/>
  <c r="W10" i="12"/>
  <c r="W11" i="12"/>
  <c r="W15" i="12"/>
  <c r="E13" i="12"/>
  <c r="L7" i="12"/>
  <c r="O7" i="12" s="1"/>
  <c r="AA4" i="12"/>
  <c r="T7" i="12"/>
  <c r="Y4" i="12"/>
  <c r="Y5" i="12"/>
  <c r="D8" i="12"/>
  <c r="S8" i="12" s="1"/>
  <c r="F8" i="12"/>
  <c r="Q8" i="12"/>
  <c r="X4" i="12"/>
  <c r="Z4" i="12"/>
  <c r="Z5" i="12"/>
  <c r="X5" i="12"/>
  <c r="H10" i="12"/>
  <c r="V10" i="12" s="1"/>
  <c r="C9" i="12"/>
  <c r="Q9" i="12" s="1"/>
  <c r="J18" i="5"/>
  <c r="I18" i="5"/>
  <c r="I17" i="5"/>
  <c r="J17" i="5"/>
  <c r="B12" i="12" l="1"/>
  <c r="P11" i="12"/>
  <c r="N10" i="12"/>
  <c r="Z6" i="12"/>
  <c r="Y6" i="12"/>
  <c r="X6" i="12"/>
  <c r="Y7" i="12"/>
  <c r="U8" i="12"/>
  <c r="AA8" i="12" s="1"/>
  <c r="X23" i="12"/>
  <c r="X25" i="12"/>
  <c r="X24" i="12"/>
  <c r="X21" i="12"/>
  <c r="X22" i="12"/>
  <c r="AA7" i="12"/>
  <c r="X7" i="12"/>
  <c r="Z7" i="12"/>
  <c r="E14" i="12"/>
  <c r="R8" i="12"/>
  <c r="X8" i="12" s="1"/>
  <c r="D9" i="12"/>
  <c r="S9" i="12" s="1"/>
  <c r="L8" i="12"/>
  <c r="O8" i="12" s="1"/>
  <c r="F9" i="12"/>
  <c r="Y8" i="12"/>
  <c r="T8" i="12"/>
  <c r="Z8" i="12" s="1"/>
  <c r="H11" i="12"/>
  <c r="V11" i="12" s="1"/>
  <c r="C10" i="12"/>
  <c r="B13" i="12" l="1"/>
  <c r="P12" i="12"/>
  <c r="N11" i="12"/>
  <c r="Q10" i="12"/>
  <c r="S30" i="12"/>
  <c r="U9" i="12"/>
  <c r="AA9" i="12" s="1"/>
  <c r="E15" i="12"/>
  <c r="R9" i="12"/>
  <c r="X9" i="12" s="1"/>
  <c r="D10" i="12"/>
  <c r="S25" i="12" s="1"/>
  <c r="L9" i="12"/>
  <c r="O9" i="12" s="1"/>
  <c r="F10" i="12"/>
  <c r="S24" i="12" s="1"/>
  <c r="Y9" i="12"/>
  <c r="T9" i="12"/>
  <c r="Z9" i="12" s="1"/>
  <c r="C11" i="12"/>
  <c r="H12" i="12"/>
  <c r="V12" i="12" s="1"/>
  <c r="B14" i="12" l="1"/>
  <c r="P13" i="12"/>
  <c r="N12" i="12"/>
  <c r="S23" i="12"/>
  <c r="S22" i="12"/>
  <c r="S10" i="12"/>
  <c r="Y10" i="12" s="1"/>
  <c r="U10" i="12"/>
  <c r="AA10" i="12" s="1"/>
  <c r="E16" i="12"/>
  <c r="D11" i="12"/>
  <c r="S11" i="12" s="1"/>
  <c r="R10" i="12"/>
  <c r="X10" i="12" s="1"/>
  <c r="L10" i="12"/>
  <c r="O10" i="12" s="1"/>
  <c r="F11" i="12"/>
  <c r="T10" i="12"/>
  <c r="Z10" i="12" s="1"/>
  <c r="H13" i="12"/>
  <c r="V13" i="12" s="1"/>
  <c r="C12" i="12"/>
  <c r="Q11" i="12"/>
  <c r="N13" i="12" l="1"/>
  <c r="B15" i="12"/>
  <c r="P14" i="12"/>
  <c r="U11" i="12"/>
  <c r="AA11" i="12" s="1"/>
  <c r="D12" i="12"/>
  <c r="S12" i="12" s="1"/>
  <c r="R11" i="12"/>
  <c r="X11" i="12" s="1"/>
  <c r="L11" i="12"/>
  <c r="O11" i="12" s="1"/>
  <c r="F12" i="12"/>
  <c r="T11" i="12"/>
  <c r="Z11" i="12" s="1"/>
  <c r="Y11" i="12"/>
  <c r="H14" i="12"/>
  <c r="V14" i="12" s="1"/>
  <c r="C13" i="12"/>
  <c r="Q12" i="12"/>
  <c r="N14" i="12" l="1"/>
  <c r="B16" i="12"/>
  <c r="P15" i="12"/>
  <c r="U12" i="12"/>
  <c r="AA12" i="12" s="1"/>
  <c r="R12" i="12"/>
  <c r="X12" i="12" s="1"/>
  <c r="D13" i="12"/>
  <c r="L12" i="12"/>
  <c r="O12" i="12" s="1"/>
  <c r="F13" i="12"/>
  <c r="T12" i="12"/>
  <c r="Z12" i="12" s="1"/>
  <c r="Y12" i="12"/>
  <c r="C14" i="12"/>
  <c r="Q13" i="12"/>
  <c r="H15" i="12"/>
  <c r="V15" i="12" s="1"/>
  <c r="N15" i="12" l="1"/>
  <c r="P16" i="12"/>
  <c r="S21" i="12"/>
  <c r="R21" i="12"/>
  <c r="L13" i="12"/>
  <c r="O13" i="12" s="1"/>
  <c r="S13" i="12"/>
  <c r="Y13" i="12" s="1"/>
  <c r="U13" i="12"/>
  <c r="AA13" i="12" s="1"/>
  <c r="R13" i="12"/>
  <c r="X13" i="12" s="1"/>
  <c r="D14" i="12"/>
  <c r="F14" i="12"/>
  <c r="T13" i="12"/>
  <c r="Z13" i="12" s="1"/>
  <c r="H16" i="12"/>
  <c r="V16" i="12" s="1"/>
  <c r="C15" i="12"/>
  <c r="Q14" i="12"/>
  <c r="W29" i="12" l="1"/>
  <c r="W30" i="12"/>
  <c r="N16" i="12"/>
  <c r="L14" i="12"/>
  <c r="O14" i="12" s="1"/>
  <c r="S14" i="12"/>
  <c r="Y14" i="12" s="1"/>
  <c r="U14" i="12"/>
  <c r="AA14" i="12" s="1"/>
  <c r="W21" i="12"/>
  <c r="Y21" i="12" s="1"/>
  <c r="W22" i="12"/>
  <c r="W23" i="12"/>
  <c r="W25" i="12"/>
  <c r="W24" i="12"/>
  <c r="R14" i="12"/>
  <c r="X14" i="12" s="1"/>
  <c r="D15" i="12"/>
  <c r="U15" i="12" s="1"/>
  <c r="F15" i="12"/>
  <c r="T14" i="12"/>
  <c r="Z14" i="12" s="1"/>
  <c r="C16" i="12"/>
  <c r="Q15" i="12"/>
  <c r="U23" i="12" l="1"/>
  <c r="S15" i="12"/>
  <c r="Y15" i="12" s="1"/>
  <c r="AA15" i="12"/>
  <c r="D16" i="12"/>
  <c r="T29" i="12" s="1"/>
  <c r="R15" i="12"/>
  <c r="X15" i="12" s="1"/>
  <c r="L15" i="12"/>
  <c r="O15" i="12" s="1"/>
  <c r="F16" i="12"/>
  <c r="T15" i="12"/>
  <c r="Z15" i="12" s="1"/>
  <c r="Q16" i="12"/>
  <c r="U16" i="12" l="1"/>
  <c r="T25" i="12"/>
  <c r="R30" i="12"/>
  <c r="S29" i="12"/>
  <c r="T30" i="12"/>
  <c r="R22" i="12"/>
  <c r="R29" i="12" s="1"/>
  <c r="T22" i="12"/>
  <c r="S16" i="12"/>
  <c r="Y16" i="12" s="1"/>
  <c r="Y17" i="12" s="1"/>
  <c r="R23" i="12"/>
  <c r="T23" i="12"/>
  <c r="R25" i="12"/>
  <c r="T24" i="12"/>
  <c r="R24" i="12"/>
  <c r="AA16" i="12"/>
  <c r="AA17" i="12" s="1"/>
  <c r="V22" i="12"/>
  <c r="V23" i="12"/>
  <c r="V25" i="12"/>
  <c r="V24" i="12"/>
  <c r="R16" i="12"/>
  <c r="X16" i="12" s="1"/>
  <c r="X17" i="12" s="1"/>
  <c r="L16" i="12"/>
  <c r="O16" i="12" s="1"/>
  <c r="T16" i="12"/>
  <c r="Z16" i="12" s="1"/>
  <c r="Z17" i="12" s="1"/>
  <c r="X30" i="12" l="1"/>
  <c r="X29" i="12"/>
  <c r="AA19" i="12"/>
  <c r="Y22" i="12"/>
  <c r="Y25" i="12"/>
  <c r="Y24" i="12"/>
  <c r="Y23" i="12"/>
</calcChain>
</file>

<file path=xl/comments1.xml><?xml version="1.0" encoding="utf-8"?>
<comments xmlns="http://schemas.openxmlformats.org/spreadsheetml/2006/main">
  <authors>
    <author>chma</author>
  </authors>
  <commentList>
    <comment ref="F7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Did not count ship storage volume in capacity.</t>
        </r>
      </text>
    </comment>
  </commentList>
</comments>
</file>

<file path=xl/comments2.xml><?xml version="1.0" encoding="utf-8"?>
<comments xmlns="http://schemas.openxmlformats.org/spreadsheetml/2006/main">
  <authors>
    <author>chma</author>
  </authors>
  <commentList>
    <comment ref="E2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From Video Lab spread sheet Iron Mountain quote.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From Video Lab spread sheet Iron Mountain quote.</t>
        </r>
      </text>
    </comment>
  </commentList>
</comments>
</file>

<file path=xl/sharedStrings.xml><?xml version="1.0" encoding="utf-8"?>
<sst xmlns="http://schemas.openxmlformats.org/spreadsheetml/2006/main" count="389" uniqueCount="277">
  <si>
    <t>Project #</t>
  </si>
  <si>
    <t>Description</t>
  </si>
  <si>
    <t>Contact</t>
  </si>
  <si>
    <t>Share</t>
  </si>
  <si>
    <t>2019 Request</t>
  </si>
  <si>
    <t>Outline Annotation - MDUC - i2Map ROV</t>
  </si>
  <si>
    <t>Jacobsen-Stout</t>
  </si>
  <si>
    <t>VARSMissionData</t>
  </si>
  <si>
    <t>Outline Annotation - MDUC - Mini ROV</t>
  </si>
  <si>
    <t>VARSMissionData or VideoLab?</t>
  </si>
  <si>
    <t>Outline Annotation - MDUC - ROV archive (Ventana &amp; Doc Ricketts)</t>
  </si>
  <si>
    <t>TBD</t>
  </si>
  <si>
    <t>Outline Annotation - MDUC - Sea Star</t>
  </si>
  <si>
    <t>VARSMissionData?</t>
  </si>
  <si>
    <t>Outline Annotation - MDUC - Editing share</t>
  </si>
  <si>
    <t>Iceberg AUV</t>
  </si>
  <si>
    <t>Caress</t>
  </si>
  <si>
    <t>MappingAUVOps2016</t>
  </si>
  <si>
    <t>CANON</t>
  </si>
  <si>
    <t>Chavez/Michisaki</t>
  </si>
  <si>
    <t>Diatom</t>
  </si>
  <si>
    <t>Continental Margin Processes (Arctic Expd)</t>
  </si>
  <si>
    <t>Continental Margin Processes (CCE low alt. survey [901101])</t>
  </si>
  <si>
    <t>OceanImaging2016</t>
  </si>
  <si>
    <t>Continental Margin Processes (CCE)</t>
  </si>
  <si>
    <t>Continental Margins/Canyon Dynamics</t>
  </si>
  <si>
    <t>Paull/Caress</t>
  </si>
  <si>
    <t>Canyon Dynamics</t>
  </si>
  <si>
    <t>Paull/Anderson/Gwiazda</t>
  </si>
  <si>
    <t>Canyon</t>
  </si>
  <si>
    <t>Submarine Volcanism</t>
  </si>
  <si>
    <t>Clague/Caress</t>
  </si>
  <si>
    <t>Paduan</t>
  </si>
  <si>
    <t>SubmVolc</t>
  </si>
  <si>
    <t>Ocean Imaging</t>
  </si>
  <si>
    <t>MappingAUVOps2017</t>
  </si>
  <si>
    <t>Biodiversity &amp; Biooptics of Zooplankton</t>
  </si>
  <si>
    <t>Haddock</t>
  </si>
  <si>
    <t>MTBS/BOG</t>
  </si>
  <si>
    <t>BOG_Archive</t>
  </si>
  <si>
    <t>Pelagic Benthic Coupling (Ends 2015)</t>
  </si>
  <si>
    <t>Huffard</t>
  </si>
  <si>
    <t>VARS_Stn-M_Image_Archive</t>
  </si>
  <si>
    <t>EDPP</t>
  </si>
  <si>
    <t>Worden</t>
  </si>
  <si>
    <t>AMP</t>
  </si>
  <si>
    <t>Matsumoto</t>
  </si>
  <si>
    <t>ESP Probe Chemistry</t>
  </si>
  <si>
    <t>Birch/Yamahara</t>
  </si>
  <si>
    <t>Greenhouse Gases</t>
  </si>
  <si>
    <t>Peltzer</t>
  </si>
  <si>
    <t>Midwater Time Series</t>
  </si>
  <si>
    <t>Sherlock</t>
  </si>
  <si>
    <t>i2MAP</t>
  </si>
  <si>
    <t>AUV Terrain Navigation</t>
  </si>
  <si>
    <t>Hobson</t>
  </si>
  <si>
    <t>Passive Acoustics (Hydrophone)</t>
  </si>
  <si>
    <t>Ryan</t>
  </si>
  <si>
    <t>Pam_Archive</t>
  </si>
  <si>
    <t>ROV Image Velocimetry</t>
  </si>
  <si>
    <t>Katija</t>
  </si>
  <si>
    <t>DeepPIV</t>
  </si>
  <si>
    <t>Imaging, Mapping, &amp; Change Detection TAG</t>
  </si>
  <si>
    <t>Video TAG</t>
  </si>
  <si>
    <t>Park-n-Fly AUV</t>
  </si>
  <si>
    <t>Waveglider Sensor Payload</t>
  </si>
  <si>
    <t>Maughan</t>
  </si>
  <si>
    <t>Pelagic Benthic Coupling (Begins 2016)</t>
  </si>
  <si>
    <t>Marine Biodiversity Observing Nework (MBON)</t>
  </si>
  <si>
    <t>Chavez/Schultz</t>
  </si>
  <si>
    <t>MBON</t>
  </si>
  <si>
    <t>Acoustical Ocean Ecology</t>
  </si>
  <si>
    <t>Benoit-Bird/Waluk</t>
  </si>
  <si>
    <t>ROVVR</t>
  </si>
  <si>
    <t>Haddock/Martin</t>
  </si>
  <si>
    <t>LRAUV Ops</t>
  </si>
  <si>
    <t>Hobson/Kieft</t>
  </si>
  <si>
    <t>LRAUV Bioacoustic Payload</t>
  </si>
  <si>
    <t>Benoit-Bird/Hobson</t>
  </si>
  <si>
    <t>LRAUV Biology Imager</t>
  </si>
  <si>
    <t>Benoit-Bird/Katija</t>
  </si>
  <si>
    <t>Next Gen Dorado Bioacoustics</t>
  </si>
  <si>
    <t>Benoit-Bird/Martin</t>
  </si>
  <si>
    <t>Deep Sea Bioinspiration</t>
  </si>
  <si>
    <t>MBARI Advanced-Imaging Infrastructure</t>
  </si>
  <si>
    <t>Jacobsen/Haddock</t>
  </si>
  <si>
    <t>Advancing Outreach at MBARI</t>
  </si>
  <si>
    <t>Cullen/Matsumoto</t>
  </si>
  <si>
    <t>UAVs for Science and Operations</t>
  </si>
  <si>
    <t>O'Reilly et al.</t>
  </si>
  <si>
    <t>Deep-Sea Coral-Sponge Community Observatory</t>
  </si>
  <si>
    <t>Barry/Sherman</t>
  </si>
  <si>
    <t>Multi-Spectral DropCam</t>
  </si>
  <si>
    <t>Total</t>
  </si>
  <si>
    <t>Video images</t>
  </si>
  <si>
    <t>Lundsten, Lonny</t>
  </si>
  <si>
    <t>California Media Solutions, Inc.</t>
  </si>
  <si>
    <t>total</t>
  </si>
  <si>
    <t>PO</t>
  </si>
  <si>
    <t>Type of tape</t>
  </si>
  <si>
    <t>Package units</t>
  </si>
  <si>
    <t>Cost</t>
  </si>
  <si>
    <t>Cost/TB</t>
  </si>
  <si>
    <t>Capacity TB</t>
  </si>
  <si>
    <t>LTO-6</t>
  </si>
  <si>
    <t>LTO-7</t>
  </si>
  <si>
    <t>LTO-8</t>
  </si>
  <si>
    <t>Year Date</t>
  </si>
  <si>
    <t>Add 470 slots license key</t>
  </si>
  <si>
    <t>Add 1320 slots hardware and license</t>
  </si>
  <si>
    <t>Variables</t>
  </si>
  <si>
    <t>Capacity Terabytes</t>
  </si>
  <si>
    <t xml:space="preserve">LTO-8 Tape </t>
  </si>
  <si>
    <t>Cost Each</t>
  </si>
  <si>
    <t>Cost Terabyte</t>
  </si>
  <si>
    <t>LTO-8 Slots</t>
  </si>
  <si>
    <t>TB/hr</t>
  </si>
  <si>
    <t>Hours</t>
  </si>
  <si>
    <t>Tape library - $128K</t>
  </si>
  <si>
    <t>Computer Hardware Amortization Years</t>
  </si>
  <si>
    <t>Tape Storage Hardware Amortization Years</t>
  </si>
  <si>
    <t>Total Fixed Cost Annual Amortization</t>
  </si>
  <si>
    <t>Total Fixed Cost per System</t>
  </si>
  <si>
    <t>Totals</t>
  </si>
  <si>
    <t>Current Titan System Costs</t>
  </si>
  <si>
    <t>Offsite backup costs per tape/month</t>
  </si>
  <si>
    <t>Offsite backup costs per tape/year</t>
  </si>
  <si>
    <t>On-Line Storage Terabytes</t>
  </si>
  <si>
    <t>IBM Titan System Maintenance contract term 5 years.</t>
  </si>
  <si>
    <t>IBM Titan Servers and Elastic Storage System initial Purchase and installation cost.  540TB online. Including two ships and the shore system.
Disk tier - $291K
Software - $187K
Ship systems (per ship)
Disk tier - $57K
Installation - $130k</t>
  </si>
  <si>
    <t>(per Ship) Tape library - $15K</t>
  </si>
  <si>
    <t>Storage capacity Terabytes</t>
  </si>
  <si>
    <t>Annual Fixed Cost on and off-line per Terabyte Capacity</t>
  </si>
  <si>
    <t>Annual Fixed Off-Site Backup cost per Terabyte</t>
  </si>
  <si>
    <t>2nd year</t>
  </si>
  <si>
    <t>IBM Titan System Expansion Maintenance contract term 5 years (pro-rated estimate)</t>
  </si>
  <si>
    <t>IBM Installation Services (pro-rated estimate)</t>
  </si>
  <si>
    <t>H.264 Compressed HD</t>
  </si>
  <si>
    <t>H.265 Compressed 4K</t>
  </si>
  <si>
    <t>Annual Fixed Cost + non-recurring tape and backup tape on and off-line per hour of HD + Mezzanine video</t>
  </si>
  <si>
    <t>Annual Fixed Cost + non-recurring tape and backup tape on and off-line per hour of 4K + Mezzanine video</t>
  </si>
  <si>
    <t>H.265 Compressed 4K 1:10</t>
  </si>
  <si>
    <t>Annual increase in Video Storage Estimated - Main Cameras HD + 10:1 Mezzanine</t>
  </si>
  <si>
    <t>Annual increase in Video Storage Estimated - All others - no Mezzanine</t>
  </si>
  <si>
    <t>Current Titan System Costs to 15.5 Petabytes</t>
  </si>
  <si>
    <t>Expansion Titan System Costs 15.5 to 37 Petabytes</t>
  </si>
  <si>
    <t>All other Video Data Projected Annual Fixed Cost + Tape HD</t>
  </si>
  <si>
    <t>Cost per Terabyte with Backup tape</t>
  </si>
  <si>
    <t>ALL DATA + 4K</t>
  </si>
  <si>
    <t>Total Data Capacity in current floorplan</t>
  </si>
  <si>
    <t>Expansion Costs (used 5 year amortization)</t>
  </si>
  <si>
    <t>total costs after expansion is added</t>
  </si>
  <si>
    <t>5 year average</t>
  </si>
  <si>
    <t>storage</t>
  </si>
  <si>
    <t>annual average</t>
  </si>
  <si>
    <t>D5 comparison</t>
  </si>
  <si>
    <t>Tape Cost Terabyte with Backup tape</t>
  </si>
  <si>
    <t>$45/hr of SD </t>
  </si>
  <si>
    <t>Hours of Tape from https://mww.mbari.org/itd/video/videostats.html</t>
  </si>
  <si>
    <t>BetacamSP</t>
  </si>
  <si>
    <t>DigitalBetacam</t>
  </si>
  <si>
    <t>Panasonic D5</t>
  </si>
  <si>
    <t>Format</t>
  </si>
  <si>
    <t>ProRes 422 720 x 486 60i</t>
  </si>
  <si>
    <t>ProRes 422 HQ 720 x 486 60i</t>
  </si>
  <si>
    <t>ProRes Video Data Rate 422HQ HD 1920 x 1080 60p</t>
  </si>
  <si>
    <t>ProRes Video Data Rate 422HQ 4K 4096 x 2160 60p</t>
  </si>
  <si>
    <t>On&amp;Off line capacity</t>
  </si>
  <si>
    <t>Pecent of Full 422HQ 4K Kept &gt; 1 year</t>
  </si>
  <si>
    <r>
      <rPr>
        <b/>
        <sz val="11"/>
        <color theme="1"/>
        <rFont val="Calibri"/>
        <family val="2"/>
        <scheme val="minor"/>
      </rPr>
      <t>Model A</t>
    </r>
    <r>
      <rPr>
        <sz val="11"/>
        <color theme="1"/>
        <rFont val="Calibri"/>
        <family val="2"/>
        <scheme val="minor"/>
      </rPr>
      <t xml:space="preserve">
Total Annual Cost of ALL Video Storage with All 4K</t>
    </r>
  </si>
  <si>
    <t>ProRes Video Data Rate 422LT 4K 4096 x 2160 60p</t>
  </si>
  <si>
    <t>Annual increase in Video Storage Estimated - Main Cameras 4K HQ + 10:1 Mezzanine</t>
  </si>
  <si>
    <t>Annual increase in Video Storage Estimated - Main Cameras 4K LT + 10:1 Mezzanine</t>
  </si>
  <si>
    <t>Terabytes w/Mezz</t>
  </si>
  <si>
    <t>Terabytes wo/Mezz</t>
  </si>
  <si>
    <t>Total 10 year Cost Comparison</t>
  </si>
  <si>
    <t>Annual increase Estimated - All other data based on project proposal requests</t>
  </si>
  <si>
    <t xml:space="preserve">Video Archive Conversion to File Data annual storage </t>
  </si>
  <si>
    <t>4K 4096 X 2160 60p Model A</t>
  </si>
  <si>
    <t>High Definition 1920 X 1080 60p</t>
  </si>
  <si>
    <t>4K 4096 X 2160 60p Model B</t>
  </si>
  <si>
    <t>4K 4096 X 2160 60p Model C</t>
  </si>
  <si>
    <t>4K 4096 X 2160 60p Model D</t>
  </si>
  <si>
    <r>
      <rPr>
        <b/>
        <sz val="11"/>
        <color theme="1"/>
        <rFont val="Calibri"/>
        <family val="2"/>
        <scheme val="minor"/>
      </rPr>
      <t>Model D</t>
    </r>
    <r>
      <rPr>
        <sz val="11"/>
        <color theme="1"/>
        <rFont val="Calibri"/>
        <family val="2"/>
        <scheme val="minor"/>
      </rPr>
      <t xml:space="preserve">
Total Annual Cost of ALL Video Storage with 4K Selects + Mezzanine</t>
    </r>
  </si>
  <si>
    <t>Cost Comparison</t>
  </si>
  <si>
    <t>Video Transcoding costs</t>
  </si>
  <si>
    <t>Amazon professional Media Convert for ProRes UHD</t>
  </si>
  <si>
    <t>$ per minute</t>
  </si>
  <si>
    <t>Cost per Terabyte of video data</t>
  </si>
  <si>
    <t>Per TB</t>
  </si>
  <si>
    <t>% HQ 4K Video</t>
  </si>
  <si>
    <t>New Video Storage Tape Cost (includes backup tape)</t>
  </si>
  <si>
    <t>2030 Annual Cost breakdown examples</t>
  </si>
  <si>
    <t>Annual Fixed and backup costs for first 15 PB</t>
  </si>
  <si>
    <t>Annual Fixed and backup costs for &gt; 15 PB</t>
  </si>
  <si>
    <t>Annual Previous 2 Main ROV Cameras Video Fixed Cost + Tape HD</t>
  </si>
  <si>
    <t>Annual all other Video Data Projected Fixed Cost + Tape HD</t>
  </si>
  <si>
    <t>Annual Cost of Transcoding from HQ to LT</t>
  </si>
  <si>
    <r>
      <rPr>
        <b/>
        <sz val="11"/>
        <color theme="1"/>
        <rFont val="Calibri"/>
        <family val="2"/>
        <scheme val="minor"/>
      </rPr>
      <t>Model B</t>
    </r>
    <r>
      <rPr>
        <sz val="11"/>
        <color theme="1"/>
        <rFont val="Calibri"/>
        <family val="2"/>
        <scheme val="minor"/>
      </rPr>
      <t xml:space="preserve">
Total Annual Cost of ALL Video Storage with 4K Annotation Selects</t>
    </r>
  </si>
  <si>
    <r>
      <rPr>
        <b/>
        <sz val="11"/>
        <color theme="1"/>
        <rFont val="Calibri"/>
        <family val="2"/>
        <scheme val="minor"/>
      </rPr>
      <t xml:space="preserve">Model C
</t>
    </r>
    <r>
      <rPr>
        <sz val="11"/>
        <color theme="1"/>
        <rFont val="Calibri"/>
        <family val="2"/>
        <scheme val="minor"/>
      </rPr>
      <t>Total Annual Cost of ALL Video Storage with 4K Real-Time Selects</t>
    </r>
  </si>
  <si>
    <t>Mezzanine H.265 Compressed 4K 1:10</t>
  </si>
  <si>
    <t>2 Main ROV Cameras Annual Video Fixed Cost + Tape HD switch to 4K</t>
  </si>
  <si>
    <t>2 Main ROV Cameras Annual Video Fixed Cost + Tape HD switch stay with HD</t>
  </si>
  <si>
    <r>
      <rPr>
        <b/>
        <sz val="11"/>
        <color theme="1"/>
        <rFont val="Calibri"/>
        <family val="2"/>
        <scheme val="minor"/>
      </rPr>
      <t xml:space="preserve">Model A </t>
    </r>
    <r>
      <rPr>
        <sz val="11"/>
        <color theme="1"/>
        <rFont val="Calibri"/>
        <family val="2"/>
        <scheme val="minor"/>
      </rPr>
      <t>2 Main ROV Cameras Annual Video Fixed Cost + Tape 4K</t>
    </r>
  </si>
  <si>
    <r>
      <rPr>
        <b/>
        <sz val="11"/>
        <color theme="1"/>
        <rFont val="Calibri"/>
        <family val="2"/>
        <scheme val="minor"/>
      </rPr>
      <t xml:space="preserve">Model B </t>
    </r>
    <r>
      <rPr>
        <sz val="11"/>
        <color theme="1"/>
        <rFont val="Calibri"/>
        <family val="2"/>
        <scheme val="minor"/>
      </rPr>
      <t>2 Main ROV Cameras Annual Video Fixed Cost + Tape 4K with Annotation Selects</t>
    </r>
  </si>
  <si>
    <r>
      <rPr>
        <b/>
        <sz val="11"/>
        <color theme="1"/>
        <rFont val="Calibri"/>
        <family val="2"/>
        <scheme val="minor"/>
      </rPr>
      <t xml:space="preserve">Model C </t>
    </r>
    <r>
      <rPr>
        <sz val="11"/>
        <color theme="1"/>
        <rFont val="Calibri"/>
        <family val="2"/>
        <scheme val="minor"/>
      </rPr>
      <t>2 Main ROV Cameras Annual Video Fixed Cost + Tape 4K with Real-Time Selects</t>
    </r>
  </si>
  <si>
    <r>
      <rPr>
        <b/>
        <sz val="11"/>
        <color theme="1"/>
        <rFont val="Calibri"/>
        <family val="2"/>
        <scheme val="minor"/>
      </rPr>
      <t xml:space="preserve">Model D </t>
    </r>
    <r>
      <rPr>
        <sz val="11"/>
        <color theme="1"/>
        <rFont val="Calibri"/>
        <family val="2"/>
        <scheme val="minor"/>
      </rPr>
      <t>2 Main ROV Cameras Annual Video Fixed Cost + Tape 4K HQ Selects + Mezz only</t>
    </r>
  </si>
  <si>
    <t>Stay with HD Cumulative VideoData Main ROV Cameras HD</t>
  </si>
  <si>
    <r>
      <rPr>
        <b/>
        <sz val="11"/>
        <color theme="1"/>
        <rFont val="Calibri"/>
        <family val="2"/>
        <scheme val="minor"/>
      </rPr>
      <t xml:space="preserve">Model D </t>
    </r>
    <r>
      <rPr>
        <sz val="11"/>
        <color theme="1"/>
        <rFont val="Calibri"/>
        <family val="2"/>
        <scheme val="minor"/>
      </rPr>
      <t>Annual Cost of ALL Video Storage 4K Annotation Selects + Mezzanine</t>
    </r>
  </si>
  <si>
    <r>
      <rPr>
        <b/>
        <sz val="11"/>
        <color theme="1"/>
        <rFont val="Calibri"/>
        <family val="2"/>
        <scheme val="minor"/>
      </rPr>
      <t xml:space="preserve">Model C </t>
    </r>
    <r>
      <rPr>
        <sz val="11"/>
        <color theme="1"/>
        <rFont val="Calibri"/>
        <family val="2"/>
        <scheme val="minor"/>
      </rPr>
      <t>Annual Cost of ALL Video Storage 4K Real-Time Selects</t>
    </r>
  </si>
  <si>
    <r>
      <rPr>
        <b/>
        <sz val="11"/>
        <color theme="1"/>
        <rFont val="Calibri"/>
        <family val="2"/>
        <scheme val="minor"/>
      </rPr>
      <t xml:space="preserve">Model B </t>
    </r>
    <r>
      <rPr>
        <sz val="11"/>
        <color theme="1"/>
        <rFont val="Calibri"/>
        <family val="2"/>
        <scheme val="minor"/>
      </rPr>
      <t>Annual Cost of ALL Video Storage 4K Annotation Selects</t>
    </r>
  </si>
  <si>
    <r>
      <rPr>
        <b/>
        <sz val="11"/>
        <color theme="1"/>
        <rFont val="Calibri"/>
        <family val="2"/>
        <scheme val="minor"/>
      </rPr>
      <t xml:space="preserve">Model A </t>
    </r>
    <r>
      <rPr>
        <sz val="11"/>
        <color theme="1"/>
        <rFont val="Calibri"/>
        <family val="2"/>
        <scheme val="minor"/>
      </rPr>
      <t>Annual Cost of ALL Video Storage with All 4K</t>
    </r>
  </si>
  <si>
    <r>
      <rPr>
        <b/>
        <sz val="11"/>
        <color theme="1"/>
        <rFont val="Calibri"/>
        <family val="2"/>
        <scheme val="minor"/>
      </rPr>
      <t>Model D</t>
    </r>
    <r>
      <rPr>
        <sz val="11"/>
        <color theme="1"/>
        <rFont val="Calibri"/>
        <family val="2"/>
        <scheme val="minor"/>
      </rPr>
      <t xml:space="preserve"> Cumulative VideoData Main ROV Cameras 4K HQ Post Selects + Mezz only TB</t>
    </r>
  </si>
  <si>
    <t>Cumulative VideoData All other Sources TB</t>
  </si>
  <si>
    <t>Video Archive Conversion to File Data TB</t>
  </si>
  <si>
    <t>Cumulative All Non-Video Data TB</t>
  </si>
  <si>
    <t>Netbackup Space 326 Slots at 12TB per slot TB</t>
  </si>
  <si>
    <t>Cumulative ALL Data TB</t>
  </si>
  <si>
    <t>System Total Capacity TB</t>
  </si>
  <si>
    <t>System Unused Space TB without 2023 expansion (HD only)</t>
  </si>
  <si>
    <t>System Unused Space TB with 2023 expansion</t>
  </si>
  <si>
    <t>Cumulative VideoData Main ROV Cameras HD 60P + Mezz TB - switch to 4K</t>
  </si>
  <si>
    <r>
      <rPr>
        <b/>
        <sz val="11"/>
        <color theme="1"/>
        <rFont val="Calibri"/>
        <family val="2"/>
        <scheme val="minor"/>
      </rPr>
      <t>Model A</t>
    </r>
    <r>
      <rPr>
        <sz val="11"/>
        <color theme="1"/>
        <rFont val="Calibri"/>
        <family val="2"/>
        <scheme val="minor"/>
      </rPr>
      <t xml:space="preserve"> Cumulative VideoData Main ROV Cameras 4K HQ + Mezz TB</t>
    </r>
  </si>
  <si>
    <r>
      <rPr>
        <b/>
        <sz val="11"/>
        <color theme="1"/>
        <rFont val="Calibri"/>
        <family val="2"/>
        <scheme val="minor"/>
      </rPr>
      <t>Model B</t>
    </r>
    <r>
      <rPr>
        <sz val="11"/>
        <color theme="1"/>
        <rFont val="Calibri"/>
        <family val="2"/>
        <scheme val="minor"/>
      </rPr>
      <t xml:space="preserve"> Cumulative VideoData Main ROV Cameras 4K HQ Post Selects + LT + Mezz TB</t>
    </r>
  </si>
  <si>
    <r>
      <rPr>
        <b/>
        <sz val="11"/>
        <color theme="1"/>
        <rFont val="Calibri"/>
        <family val="2"/>
        <scheme val="minor"/>
      </rPr>
      <t>Model C</t>
    </r>
    <r>
      <rPr>
        <sz val="11"/>
        <color theme="1"/>
        <rFont val="Calibri"/>
        <family val="2"/>
        <scheme val="minor"/>
      </rPr>
      <t xml:space="preserve"> Cumulative VideoData Main ROV Cameras 4K HQ Realtime Selects + LT + Mezz TB</t>
    </r>
  </si>
  <si>
    <t>Stay with Main Cameras HD 60P HQ + Mezz</t>
  </si>
  <si>
    <t xml:space="preserve">Annual Converted Video Archive On-line and cold storage </t>
  </si>
  <si>
    <t>Annual on-line fixed costs for video library</t>
  </si>
  <si>
    <t>Annual backup cold storage costs for video library</t>
  </si>
  <si>
    <t xml:space="preserve">Annual on-line fixed costs for converted video archive </t>
  </si>
  <si>
    <t xml:space="preserve">Annual backup cold storage costs for converted video archive </t>
  </si>
  <si>
    <t>Option Model</t>
  </si>
  <si>
    <t>Advantages</t>
  </si>
  <si>
    <t>Disadvantages</t>
  </si>
  <si>
    <r>
      <rPr>
        <b/>
        <sz val="11"/>
        <color theme="1"/>
        <rFont val="Calibri"/>
        <family val="2"/>
        <scheme val="minor"/>
      </rPr>
      <t xml:space="preserve">Model A </t>
    </r>
    <r>
      <rPr>
        <sz val="11"/>
        <color theme="1"/>
        <rFont val="Calibri"/>
        <family val="2"/>
        <scheme val="minor"/>
      </rPr>
      <t>2 Main ROV Cameras 4K ProRes HQ + mezzanine - keep all</t>
    </r>
  </si>
  <si>
    <r>
      <rPr>
        <b/>
        <sz val="11"/>
        <color theme="1"/>
        <rFont val="Calibri"/>
        <family val="2"/>
        <scheme val="minor"/>
      </rPr>
      <t xml:space="preserve">Model B </t>
    </r>
    <r>
      <rPr>
        <sz val="11"/>
        <color theme="1"/>
        <rFont val="Calibri"/>
        <family val="2"/>
        <scheme val="minor"/>
      </rPr>
      <t>2 Main ROV Cameras 4K ProRes HQ with annotation selects transcoded to ProRes LT + mezzanine</t>
    </r>
  </si>
  <si>
    <r>
      <rPr>
        <b/>
        <sz val="11"/>
        <color theme="1"/>
        <rFont val="Calibri"/>
        <family val="2"/>
        <scheme val="minor"/>
      </rPr>
      <t xml:space="preserve">Model D </t>
    </r>
    <r>
      <rPr>
        <sz val="11"/>
        <color theme="1"/>
        <rFont val="Calibri"/>
        <family val="2"/>
        <scheme val="minor"/>
      </rPr>
      <t>2 Main ROV Cameras 4K HQ annotation selects + mezzanine only</t>
    </r>
  </si>
  <si>
    <r>
      <rPr>
        <b/>
        <sz val="11"/>
        <color theme="1"/>
        <rFont val="Calibri"/>
        <family val="2"/>
        <scheme val="minor"/>
      </rPr>
      <t xml:space="preserve">Model C </t>
    </r>
    <r>
      <rPr>
        <sz val="11"/>
        <color theme="1"/>
        <rFont val="Calibri"/>
        <family val="2"/>
        <scheme val="minor"/>
      </rPr>
      <t xml:space="preserve">2 Main ROV Cameras with real-time selects 4K ProRes HQ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ProRes LT + mezzanine</t>
    </r>
  </si>
  <si>
    <t>All video preserved at highest quality</t>
  </si>
  <si>
    <t>No extra steps in processing chain</t>
  </si>
  <si>
    <t>Uses most storage volume - most expensive option</t>
  </si>
  <si>
    <t>Burdens MBARI with storage costs of video data that may not ever be useful</t>
  </si>
  <si>
    <t>Potential to reduce stored data volume based on annotation examination</t>
  </si>
  <si>
    <t>Requires extra processing steps of transcoding video from HQ to LT level</t>
  </si>
  <si>
    <t>Potential to reduce stored data volume based on chief scientist or pilot decision during acquisition</t>
  </si>
  <si>
    <t>Reduces cold storage backup data volume also</t>
  </si>
  <si>
    <t>Once recording format decision is made there is no way to recover highest quality video records</t>
  </si>
  <si>
    <t>HQ quality cold storage backup is always available if needed</t>
  </si>
  <si>
    <t>Different observer may have different opinion about what image data is important</t>
  </si>
  <si>
    <t>Requires extra processing steps of transferring video records and recovering tape</t>
  </si>
  <si>
    <r>
      <rPr>
        <b/>
        <sz val="11"/>
        <color theme="1"/>
        <rFont val="Calibri"/>
        <family val="2"/>
        <scheme val="minor"/>
      </rPr>
      <t>Model A</t>
    </r>
    <r>
      <rPr>
        <sz val="11"/>
        <color theme="1"/>
        <rFont val="Calibri"/>
        <family val="2"/>
        <scheme val="minor"/>
      </rPr>
      <t xml:space="preserve">
Total Annual Cost of ALL Video Storage with all 4K + Mezzanine</t>
    </r>
  </si>
  <si>
    <t>Reduces stored data volume based on annotation examination, saving online storage volume and expense</t>
  </si>
  <si>
    <t>Decision on amount ot keep in 4K is flexible and can change with time</t>
  </si>
  <si>
    <t>Going to LT level, which is 50% of HQ does not reduce overall data storage volumes and costs that much</t>
  </si>
  <si>
    <t>Current HD Video Files</t>
  </si>
  <si>
    <t>ProRes Video Data Rate 422HQ HD 1920 x 1080 60i</t>
  </si>
  <si>
    <t>Mezzanine H.264 Compressed HD60p 1:10</t>
  </si>
  <si>
    <t>Mezzanine H.264 Compressed HD60i 1:10</t>
  </si>
  <si>
    <t>H.264 Compressed HD 60p 1:10</t>
  </si>
  <si>
    <t>Mezzanine H.264 Compressed HD 60i 1:10</t>
  </si>
  <si>
    <t>Mezzanine H.264 Compressed SD 60i 1:10</t>
  </si>
  <si>
    <t>Data volume in Terabytes (including mezzanine)</t>
  </si>
  <si>
    <t>difference
A-D</t>
  </si>
  <si>
    <t>Tapes</t>
  </si>
  <si>
    <t>Conversion cost (not including tape costs)</t>
  </si>
  <si>
    <t>Cost quote per tape</t>
  </si>
  <si>
    <t>Estimated Cost of converting video tapes to LTO tape. Iron Mountian quote from video Lab matrix.</t>
  </si>
  <si>
    <t>BetacamSP (30 minute tapes)</t>
  </si>
  <si>
    <t>DigitalBetacam (60 minute tapes)</t>
  </si>
  <si>
    <t>Panasonic D5 (60 minute tapes)</t>
  </si>
  <si>
    <t>Tape cost</t>
  </si>
  <si>
    <t>Conversion cost (including tape costs)</t>
  </si>
  <si>
    <t>Panasonic D5 63 minute cassett, no backup</t>
  </si>
  <si>
    <t>B&amp;H</t>
  </si>
  <si>
    <t>Source</t>
  </si>
  <si>
    <t>Total less video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</si>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</sst>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14" fontId="0" fillId="0" borderId="0" xfId="0" applyNumberFormat="1"/>
    <xf numFmtId="8" fontId="0" fillId="0" borderId="0" xfId="0" applyNumberForma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/>
    <xf numFmtId="165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3" fontId="0" fillId="0" borderId="0" xfId="0" applyNumberFormat="1" applyBorder="1" applyAlignment="1">
      <alignment wrapText="1"/>
    </xf>
    <xf numFmtId="1" fontId="1" fillId="0" borderId="0" xfId="0" applyNumberFormat="1" applyFont="1" applyAlignment="1">
      <alignment horizontal="center" vertical="center" wrapText="1"/>
    </xf>
    <xf numFmtId="165" fontId="0" fillId="0" borderId="0" xfId="0" applyNumberFormat="1" applyBorder="1" applyAlignment="1">
      <alignment wrapText="1"/>
    </xf>
    <xf numFmtId="0" fontId="0" fillId="0" borderId="2" xfId="0" applyBorder="1" applyAlignment="1">
      <alignment wrapText="1"/>
    </xf>
    <xf numFmtId="3" fontId="0" fillId="0" borderId="4" xfId="0" applyNumberFormat="1" applyBorder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wrapText="1"/>
    </xf>
    <xf numFmtId="3" fontId="0" fillId="0" borderId="9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wrapText="1"/>
    </xf>
    <xf numFmtId="164" fontId="0" fillId="2" borderId="13" xfId="0" applyNumberFormat="1" applyFill="1" applyBorder="1" applyAlignment="1">
      <alignment wrapText="1"/>
    </xf>
    <xf numFmtId="0" fontId="0" fillId="0" borderId="0" xfId="0" applyAlignment="1">
      <alignment horizontal="right" wrapText="1"/>
    </xf>
    <xf numFmtId="1" fontId="0" fillId="0" borderId="5" xfId="0" applyNumberForma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horizontal="right"/>
    </xf>
    <xf numFmtId="0" fontId="0" fillId="0" borderId="1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65" fontId="1" fillId="2" borderId="14" xfId="0" applyNumberFormat="1" applyFont="1" applyFill="1" applyBorder="1" applyAlignment="1">
      <alignment horizontal="center" wrapText="1"/>
    </xf>
    <xf numFmtId="164" fontId="1" fillId="2" borderId="12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65" fontId="0" fillId="2" borderId="8" xfId="0" applyNumberFormat="1" applyFill="1" applyBorder="1" applyAlignment="1">
      <alignment wrapText="1"/>
    </xf>
    <xf numFmtId="164" fontId="0" fillId="2" borderId="8" xfId="0" applyNumberFormat="1" applyFill="1" applyBorder="1" applyAlignment="1">
      <alignment wrapText="1"/>
    </xf>
    <xf numFmtId="1" fontId="0" fillId="0" borderId="8" xfId="0" applyNumberFormat="1" applyBorder="1" applyAlignment="1">
      <alignment wrapText="1"/>
    </xf>
    <xf numFmtId="0" fontId="0" fillId="0" borderId="18" xfId="0" applyBorder="1" applyAlignment="1">
      <alignment wrapText="1"/>
    </xf>
    <xf numFmtId="3" fontId="0" fillId="2" borderId="8" xfId="0" applyNumberFormat="1" applyFill="1" applyBorder="1" applyAlignment="1">
      <alignment wrapText="1"/>
    </xf>
    <xf numFmtId="3" fontId="1" fillId="2" borderId="19" xfId="0" applyNumberFormat="1" applyFont="1" applyFill="1" applyBorder="1" applyAlignment="1">
      <alignment wrapText="1"/>
    </xf>
    <xf numFmtId="3" fontId="1" fillId="2" borderId="22" xfId="0" applyNumberFormat="1" applyFont="1" applyFill="1" applyBorder="1" applyAlignment="1">
      <alignment wrapText="1"/>
    </xf>
    <xf numFmtId="164" fontId="0" fillId="2" borderId="22" xfId="0" applyNumberFormat="1" applyFill="1" applyBorder="1" applyAlignment="1">
      <alignment wrapText="1"/>
    </xf>
    <xf numFmtId="165" fontId="0" fillId="0" borderId="12" xfId="0" applyNumberFormat="1" applyBorder="1" applyAlignment="1">
      <alignment wrapText="1"/>
    </xf>
    <xf numFmtId="165" fontId="0" fillId="2" borderId="12" xfId="0" applyNumberFormat="1" applyFill="1" applyBorder="1" applyAlignment="1">
      <alignment wrapText="1"/>
    </xf>
    <xf numFmtId="165" fontId="1" fillId="2" borderId="22" xfId="0" applyNumberFormat="1" applyFont="1" applyFill="1" applyBorder="1" applyAlignment="1">
      <alignment wrapText="1"/>
    </xf>
    <xf numFmtId="165" fontId="0" fillId="0" borderId="22" xfId="0" applyNumberFormat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0" fontId="1" fillId="2" borderId="12" xfId="0" applyFont="1" applyFill="1" applyBorder="1" applyAlignment="1">
      <alignment horizontal="center" wrapText="1"/>
    </xf>
    <xf numFmtId="164" fontId="0" fillId="2" borderId="11" xfId="0" applyNumberFormat="1" applyFill="1" applyBorder="1" applyAlignment="1">
      <alignment wrapText="1"/>
    </xf>
    <xf numFmtId="1" fontId="0" fillId="3" borderId="1" xfId="0" applyNumberFormat="1" applyFill="1" applyBorder="1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Fill="1" applyBorder="1" applyAlignment="1">
      <alignment wrapText="1"/>
    </xf>
    <xf numFmtId="8" fontId="0" fillId="0" borderId="8" xfId="0" applyNumberFormat="1" applyBorder="1"/>
    <xf numFmtId="165" fontId="0" fillId="0" borderId="12" xfId="0" applyNumberFormat="1" applyBorder="1"/>
    <xf numFmtId="164" fontId="0" fillId="0" borderId="0" xfId="0" applyNumberFormat="1" applyAlignment="1">
      <alignment horizontal="center" wrapText="1"/>
    </xf>
    <xf numFmtId="164" fontId="0" fillId="4" borderId="8" xfId="0" applyNumberForma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1" fontId="1" fillId="0" borderId="9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3" fontId="0" fillId="2" borderId="1" xfId="0" applyNumberFormat="1" applyFill="1" applyBorder="1" applyAlignment="1">
      <alignment wrapText="1"/>
    </xf>
    <xf numFmtId="1" fontId="0" fillId="0" borderId="0" xfId="0" applyNumberFormat="1"/>
    <xf numFmtId="165" fontId="0" fillId="0" borderId="0" xfId="0" applyNumberFormat="1" applyBorder="1" applyAlignment="1">
      <alignment horizontal="center" vertical="center" wrapText="1"/>
    </xf>
    <xf numFmtId="0" fontId="0" fillId="0" borderId="8" xfId="0" applyBorder="1"/>
    <xf numFmtId="164" fontId="0" fillId="0" borderId="8" xfId="0" applyNumberFormat="1" applyBorder="1"/>
    <xf numFmtId="164" fontId="1" fillId="0" borderId="8" xfId="0" applyNumberFormat="1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1" fillId="2" borderId="12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1" fontId="1" fillId="0" borderId="24" xfId="0" applyNumberFormat="1" applyFont="1" applyBorder="1" applyAlignment="1">
      <alignment horizontal="center" vertical="center" wrapText="1"/>
    </xf>
    <xf numFmtId="1" fontId="0" fillId="0" borderId="24" xfId="0" applyNumberFormat="1" applyBorder="1" applyAlignment="1">
      <alignment wrapText="1"/>
    </xf>
    <xf numFmtId="3" fontId="0" fillId="0" borderId="24" xfId="0" applyNumberFormat="1" applyBorder="1" applyAlignment="1">
      <alignment wrapText="1"/>
    </xf>
    <xf numFmtId="165" fontId="0" fillId="0" borderId="24" xfId="0" applyNumberFormat="1" applyBorder="1" applyAlignment="1">
      <alignment horizontal="center" vertical="center" wrapText="1"/>
    </xf>
    <xf numFmtId="165" fontId="0" fillId="0" borderId="24" xfId="0" applyNumberFormat="1" applyBorder="1" applyAlignment="1">
      <alignment wrapText="1"/>
    </xf>
    <xf numFmtId="164" fontId="0" fillId="0" borderId="24" xfId="0" applyNumberFormat="1" applyBorder="1"/>
    <xf numFmtId="1" fontId="0" fillId="2" borderId="31" xfId="0" applyNumberFormat="1" applyFill="1" applyBorder="1" applyAlignment="1">
      <alignment wrapText="1"/>
    </xf>
    <xf numFmtId="10" fontId="0" fillId="0" borderId="0" xfId="0" applyNumberFormat="1" applyAlignment="1">
      <alignment wrapText="1"/>
    </xf>
    <xf numFmtId="0" fontId="1" fillId="0" borderId="0" xfId="0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9" xfId="0" applyBorder="1" applyAlignment="1">
      <alignment wrapText="1"/>
    </xf>
    <xf numFmtId="164" fontId="0" fillId="2" borderId="1" xfId="0" applyNumberFormat="1" applyFill="1" applyBorder="1" applyAlignment="1">
      <alignment wrapText="1"/>
    </xf>
    <xf numFmtId="9" fontId="2" fillId="0" borderId="1" xfId="0" applyNumberFormat="1" applyFont="1" applyBorder="1"/>
    <xf numFmtId="9" fontId="0" fillId="2" borderId="1" xfId="0" applyNumberFormat="1" applyFill="1" applyBorder="1" applyAlignment="1">
      <alignment wrapText="1"/>
    </xf>
    <xf numFmtId="165" fontId="0" fillId="0" borderId="0" xfId="0" applyNumberFormat="1"/>
    <xf numFmtId="0" fontId="5" fillId="0" borderId="0" xfId="0" applyFont="1"/>
    <xf numFmtId="165" fontId="0" fillId="0" borderId="0" xfId="0" applyNumberFormat="1" applyAlignment="1">
      <alignment horizontal="center" wrapText="1"/>
    </xf>
    <xf numFmtId="164" fontId="0" fillId="0" borderId="0" xfId="0" applyNumberFormat="1" applyBorder="1"/>
    <xf numFmtId="0" fontId="0" fillId="0" borderId="0" xfId="0" applyAlignment="1">
      <alignment wrapText="1"/>
    </xf>
    <xf numFmtId="0" fontId="0" fillId="0" borderId="3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 applyAlignment="1">
      <alignment wrapText="1"/>
    </xf>
    <xf numFmtId="0" fontId="0" fillId="2" borderId="3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8" xfId="0" applyNumberFormat="1" applyBorder="1" applyAlignment="1">
      <alignment wrapText="1"/>
    </xf>
    <xf numFmtId="0" fontId="0" fillId="0" borderId="22" xfId="0" applyBorder="1" applyAlignment="1">
      <alignment wrapText="1"/>
    </xf>
    <xf numFmtId="164" fontId="0" fillId="0" borderId="22" xfId="0" applyNumberForma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40" xfId="0" applyFill="1" applyBorder="1" applyAlignment="1">
      <alignment wrapText="1"/>
    </xf>
    <xf numFmtId="165" fontId="0" fillId="2" borderId="36" xfId="0" applyNumberFormat="1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165" fontId="0" fillId="2" borderId="15" xfId="0" applyNumberFormat="1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6" xfId="0" applyBorder="1" applyAlignment="1">
      <alignment wrapText="1"/>
    </xf>
    <xf numFmtId="164" fontId="0" fillId="0" borderId="25" xfId="0" applyNumberForma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164" fontId="0" fillId="0" borderId="28" xfId="0" applyNumberForma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164" fontId="1" fillId="2" borderId="12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MBARI/IBM Elastic</a:t>
            </a:r>
            <a:r>
              <a:rPr lang="en-US" baseline="0"/>
              <a:t> Storage "</a:t>
            </a:r>
            <a:r>
              <a:rPr lang="en-US"/>
              <a:t>Titan" and Projected Data Storage HD only  - 10 years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'DataStorageAll+4K+Archive'!$B$2</c:f>
              <c:strCache>
                <c:ptCount val="1"/>
                <c:pt idx="0">
                  <c:v>Stay with HD Cumulative VideoData Main ROV Cameras HD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'DataStorageAll+4K+Archive'!$B$4:$B$16</c:f>
              <c:numCache>
                <c:formatCode>0</c:formatCode>
                <c:ptCount val="13"/>
                <c:pt idx="0" formatCode="General">
                  <c:v>180</c:v>
                </c:pt>
                <c:pt idx="1">
                  <c:v>506.70000000000005</c:v>
                </c:pt>
                <c:pt idx="2">
                  <c:v>833.40000000000009</c:v>
                </c:pt>
                <c:pt idx="3">
                  <c:v>1160.1000000000001</c:v>
                </c:pt>
                <c:pt idx="4">
                  <c:v>1486.8000000000002</c:v>
                </c:pt>
                <c:pt idx="5">
                  <c:v>1813.5000000000002</c:v>
                </c:pt>
                <c:pt idx="6">
                  <c:v>2140.2000000000003</c:v>
                </c:pt>
                <c:pt idx="7">
                  <c:v>2466.9000000000005</c:v>
                </c:pt>
                <c:pt idx="8">
                  <c:v>2793.6000000000004</c:v>
                </c:pt>
                <c:pt idx="9">
                  <c:v>3120.3</c:v>
                </c:pt>
                <c:pt idx="10">
                  <c:v>3447</c:v>
                </c:pt>
                <c:pt idx="11">
                  <c:v>3773.7</c:v>
                </c:pt>
                <c:pt idx="12">
                  <c:v>4100.3999999999996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E-4859-A571-31FE8C5C7357}"/>
            </c:ext>
          </c:extLst>
        </c:ser>
        <c:ser>
          <c:idx val="2"/>
          <c:order val="1"/>
          <c:tx>
            <c:strRef>
              <c:f>'DataStorageAll+4K+Archive'!$H$2</c:f>
              <c:strCache>
                <c:ptCount val="1"/>
                <c:pt idx="0">
                  <c:v>Cumulative VideoData All other Sources TB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'DataStorageAll+4K+Archive'!$H$4:$H$16</c:f>
              <c:numCache>
                <c:formatCode>0</c:formatCode>
                <c:ptCount val="13"/>
                <c:pt idx="0" formatCode="General">
                  <c:v>20</c:v>
                </c:pt>
                <c:pt idx="1">
                  <c:v>44.75</c:v>
                </c:pt>
                <c:pt idx="2">
                  <c:v>69.5</c:v>
                </c:pt>
                <c:pt idx="3">
                  <c:v>94.25</c:v>
                </c:pt>
                <c:pt idx="4">
                  <c:v>119</c:v>
                </c:pt>
                <c:pt idx="5">
                  <c:v>143.75</c:v>
                </c:pt>
                <c:pt idx="6">
                  <c:v>168.5</c:v>
                </c:pt>
                <c:pt idx="7">
                  <c:v>193.25</c:v>
                </c:pt>
                <c:pt idx="8">
                  <c:v>218</c:v>
                </c:pt>
                <c:pt idx="9">
                  <c:v>242.75</c:v>
                </c:pt>
                <c:pt idx="10">
                  <c:v>267.5</c:v>
                </c:pt>
                <c:pt idx="11">
                  <c:v>292.25</c:v>
                </c:pt>
                <c:pt idx="1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E-4859-A571-31FE8C5C7357}"/>
            </c:ext>
          </c:extLst>
        </c:ser>
        <c:ser>
          <c:idx val="3"/>
          <c:order val="2"/>
          <c:tx>
            <c:strRef>
              <c:f>'DataStorageAll+4K+Archive'!$J$2</c:f>
              <c:strCache>
                <c:ptCount val="1"/>
                <c:pt idx="0">
                  <c:v>Cumulative All Non-Video Data TB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'DataStorageAll+4K+Archive'!$J$4:$J$16</c:f>
              <c:numCache>
                <c:formatCode>0</c:formatCode>
                <c:ptCount val="13"/>
                <c:pt idx="0" formatCode="General">
                  <c:v>350</c:v>
                </c:pt>
                <c:pt idx="1">
                  <c:v>480</c:v>
                </c:pt>
                <c:pt idx="2">
                  <c:v>610</c:v>
                </c:pt>
                <c:pt idx="3">
                  <c:v>740</c:v>
                </c:pt>
                <c:pt idx="4">
                  <c:v>870</c:v>
                </c:pt>
                <c:pt idx="5">
                  <c:v>1000</c:v>
                </c:pt>
                <c:pt idx="6">
                  <c:v>1130</c:v>
                </c:pt>
                <c:pt idx="7">
                  <c:v>1260</c:v>
                </c:pt>
                <c:pt idx="8">
                  <c:v>1390</c:v>
                </c:pt>
                <c:pt idx="9">
                  <c:v>1520</c:v>
                </c:pt>
                <c:pt idx="10">
                  <c:v>1650</c:v>
                </c:pt>
                <c:pt idx="11">
                  <c:v>1780</c:v>
                </c:pt>
                <c:pt idx="12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AE-4859-A571-31FE8C5C7357}"/>
            </c:ext>
          </c:extLst>
        </c:ser>
        <c:ser>
          <c:idx val="4"/>
          <c:order val="3"/>
          <c:tx>
            <c:strRef>
              <c:f>'DataStorageAll+4K+Archive'!$K$2</c:f>
              <c:strCache>
                <c:ptCount val="1"/>
                <c:pt idx="0">
                  <c:v>Netbackup Space 326 Slots at 12TB per slot TB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'DataStorageAll+4K+Archive'!$K$4:$K$16</c:f>
              <c:numCache>
                <c:formatCode>0</c:formatCode>
                <c:ptCount val="13"/>
                <c:pt idx="0">
                  <c:v>3912</c:v>
                </c:pt>
                <c:pt idx="1">
                  <c:v>3912</c:v>
                </c:pt>
                <c:pt idx="2">
                  <c:v>3912</c:v>
                </c:pt>
                <c:pt idx="3">
                  <c:v>3912</c:v>
                </c:pt>
                <c:pt idx="4">
                  <c:v>3912</c:v>
                </c:pt>
                <c:pt idx="5">
                  <c:v>3912</c:v>
                </c:pt>
                <c:pt idx="6">
                  <c:v>3912</c:v>
                </c:pt>
                <c:pt idx="7">
                  <c:v>3912</c:v>
                </c:pt>
                <c:pt idx="8">
                  <c:v>3912</c:v>
                </c:pt>
                <c:pt idx="9">
                  <c:v>3912</c:v>
                </c:pt>
                <c:pt idx="10">
                  <c:v>3912</c:v>
                </c:pt>
                <c:pt idx="11">
                  <c:v>3912</c:v>
                </c:pt>
                <c:pt idx="12">
                  <c:v>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AE-4859-A571-31FE8C5C7357}"/>
            </c:ext>
          </c:extLst>
        </c:ser>
        <c:ser>
          <c:idx val="5"/>
          <c:order val="5"/>
          <c:tx>
            <c:strRef>
              <c:f>'DataStorageAll+4K+Archive'!$I$2</c:f>
              <c:strCache>
                <c:ptCount val="1"/>
                <c:pt idx="0">
                  <c:v>Video Archive Conversion to File Data TB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'DataStorageAll+4K+Archive'!$I$4:$I$16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810.53010000000006</c:v>
                </c:pt>
                <c:pt idx="3" formatCode="0">
                  <c:v>1621.0602000000001</c:v>
                </c:pt>
                <c:pt idx="4" formatCode="0">
                  <c:v>1621.0602000000001</c:v>
                </c:pt>
                <c:pt idx="5" formatCode="0">
                  <c:v>1621.0602000000001</c:v>
                </c:pt>
                <c:pt idx="6" formatCode="0">
                  <c:v>1621.0602000000001</c:v>
                </c:pt>
                <c:pt idx="7" formatCode="0">
                  <c:v>1621.0602000000001</c:v>
                </c:pt>
                <c:pt idx="8" formatCode="0">
                  <c:v>1621.0602000000001</c:v>
                </c:pt>
                <c:pt idx="9" formatCode="0">
                  <c:v>1621.0602000000001</c:v>
                </c:pt>
                <c:pt idx="10" formatCode="0">
                  <c:v>1621.0602000000001</c:v>
                </c:pt>
                <c:pt idx="11" formatCode="0">
                  <c:v>1621.0602000000001</c:v>
                </c:pt>
                <c:pt idx="12" formatCode="0">
                  <c:v>1621.0602000000001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AE-4859-A571-31FE8C5C7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22880"/>
        <c:axId val="207312296"/>
      </c:areaChart>
      <c:areaChart>
        <c:grouping val="stacked"/>
        <c:varyColors val="0"/>
        <c:ser>
          <c:idx val="6"/>
          <c:order val="4"/>
          <c:tx>
            <c:strRef>
              <c:f>'DataStorageAll+4K+Archive'!$M$2</c:f>
              <c:strCache>
                <c:ptCount val="1"/>
                <c:pt idx="0">
                  <c:v>System Total Capacity TB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cat>
            <c:numRef>
              <c:f>'DataStorageAll+4K+Archive'!$A$4:$A$15</c:f>
              <c:numCache>
                <c:formatCode>0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'DataStorageAll+4K+Archive'!$M$4:$M$16</c:f>
              <c:numCache>
                <c:formatCode>#,##0</c:formatCode>
                <c:ptCount val="13"/>
                <c:pt idx="0">
                  <c:v>15300</c:v>
                </c:pt>
                <c:pt idx="1">
                  <c:v>15300</c:v>
                </c:pt>
                <c:pt idx="2">
                  <c:v>15300</c:v>
                </c:pt>
                <c:pt idx="3">
                  <c:v>15300</c:v>
                </c:pt>
                <c:pt idx="4">
                  <c:v>15300</c:v>
                </c:pt>
                <c:pt idx="5">
                  <c:v>36780</c:v>
                </c:pt>
                <c:pt idx="6">
                  <c:v>36780</c:v>
                </c:pt>
                <c:pt idx="7">
                  <c:v>36780</c:v>
                </c:pt>
                <c:pt idx="8">
                  <c:v>36780</c:v>
                </c:pt>
                <c:pt idx="9">
                  <c:v>36780</c:v>
                </c:pt>
                <c:pt idx="10">
                  <c:v>36780</c:v>
                </c:pt>
                <c:pt idx="11">
                  <c:v>36780</c:v>
                </c:pt>
                <c:pt idx="12">
                  <c:v>36780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AE-4859-A571-31FE8C5C7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12688"/>
        <c:axId val="207318960"/>
      </c:areaChart>
      <c:catAx>
        <c:axId val="2073228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12296"/>
        <c:crosses val="autoZero"/>
        <c:auto val="1"/>
        <c:lblAlgn val="ctr"/>
        <c:lblOffset val="100"/>
        <c:noMultiLvlLbl val="0"/>
      </c:catAx>
      <c:valAx>
        <c:axId val="207312296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22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5234613040828763E-2"/>
                <c:y val="6.4042553191489368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7318960"/>
        <c:scaling>
          <c:orientation val="minMax"/>
          <c:max val="4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12688"/>
        <c:crosses val="max"/>
        <c:crossBetween val="midCat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0731268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07318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Video</a:t>
            </a:r>
            <a:r>
              <a:rPr lang="en-US" baseline="0"/>
              <a:t> Only </a:t>
            </a:r>
            <a:r>
              <a:rPr lang="en-US"/>
              <a:t>Data Storage Costs with</a:t>
            </a:r>
            <a:r>
              <a:rPr lang="en-US" baseline="0"/>
              <a:t> 4K Cameras on ROV's Model D Select 4K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28173780908965E-2"/>
          <c:y val="8.200659299366321E-2"/>
          <c:w val="0.89135373977375632"/>
          <c:h val="0.72749824926981743"/>
        </c:manualLayout>
      </c:layout>
      <c:areaChart>
        <c:grouping val="stacked"/>
        <c:varyColors val="0"/>
        <c:ser>
          <c:idx val="0"/>
          <c:order val="0"/>
          <c:tx>
            <c:strRef>
              <c:f>'DataStorageAll+4K+Archive'!$Q$2</c:f>
              <c:strCache>
                <c:ptCount val="1"/>
                <c:pt idx="0">
                  <c:v>2 Main ROV Cameras Annual Video Fixed Cost + Tape HD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'DataStorageAll+4K+Archive'!$Q$4:$Q$16</c:f>
              <c:numCache>
                <c:formatCode>"$"#,##0</c:formatCode>
                <c:ptCount val="13"/>
                <c:pt idx="0">
                  <c:v>7069.552941176471</c:v>
                </c:pt>
                <c:pt idx="1">
                  <c:v>8077.4385882352963</c:v>
                </c:pt>
                <c:pt idx="2">
                  <c:v>17034.33017647059</c:v>
                </c:pt>
                <c:pt idx="3">
                  <c:v>8406.1831764705894</c:v>
                </c:pt>
                <c:pt idx="4">
                  <c:v>8406.1831764705894</c:v>
                </c:pt>
                <c:pt idx="5">
                  <c:v>8406.1831764705894</c:v>
                </c:pt>
                <c:pt idx="6">
                  <c:v>8406.1831764705894</c:v>
                </c:pt>
                <c:pt idx="7">
                  <c:v>8406.1831764705894</c:v>
                </c:pt>
                <c:pt idx="8">
                  <c:v>8406.1831764705894</c:v>
                </c:pt>
                <c:pt idx="9">
                  <c:v>8406.1831764705894</c:v>
                </c:pt>
                <c:pt idx="10">
                  <c:v>8406.1831764705894</c:v>
                </c:pt>
                <c:pt idx="11">
                  <c:v>8406.1831764705894</c:v>
                </c:pt>
                <c:pt idx="12">
                  <c:v>8406.1831764705894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1-4FA3-B85D-A00184AA5E00}"/>
            </c:ext>
          </c:extLst>
        </c:ser>
        <c:ser>
          <c:idx val="1"/>
          <c:order val="1"/>
          <c:tx>
            <c:strRef>
              <c:f>'DataStorageAll+4K+Archive'!$U$2</c:f>
              <c:strCache>
                <c:ptCount val="1"/>
                <c:pt idx="0">
                  <c:v>Model D 2 Main ROV Cameras Annual Video Fixed Cost + Tape 4K HQ Selects + Mezz only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'DataStorageAll+4K+Archive'!$U$4:$U$16</c:f>
              <c:numCache>
                <c:formatCode>"$"#,##0.00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29065.948235294116</c:v>
                </c:pt>
                <c:pt idx="3">
                  <c:v>34616.432470588232</c:v>
                </c:pt>
                <c:pt idx="4">
                  <c:v>40166.916705882359</c:v>
                </c:pt>
                <c:pt idx="5">
                  <c:v>45717.400941176464</c:v>
                </c:pt>
                <c:pt idx="6">
                  <c:v>51267.885176470576</c:v>
                </c:pt>
                <c:pt idx="7">
                  <c:v>52417.232610145074</c:v>
                </c:pt>
                <c:pt idx="8">
                  <c:v>53566.58004381958</c:v>
                </c:pt>
                <c:pt idx="9">
                  <c:v>54715.927477494064</c:v>
                </c:pt>
                <c:pt idx="10">
                  <c:v>55865.274911168555</c:v>
                </c:pt>
                <c:pt idx="11">
                  <c:v>57014.622344843039</c:v>
                </c:pt>
                <c:pt idx="12">
                  <c:v>58163.969778517523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1-4FA3-B85D-A00184AA5E00}"/>
            </c:ext>
          </c:extLst>
        </c:ser>
        <c:ser>
          <c:idx val="2"/>
          <c:order val="2"/>
          <c:tx>
            <c:strRef>
              <c:f>'DataStorageAll+4K+Archive'!$V$2</c:f>
              <c:strCache>
                <c:ptCount val="1"/>
                <c:pt idx="0">
                  <c:v>All other Video Data Projected Annual Fixed Cost + Tape HD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'DataStorageAll+4K+Archive'!$V$4:$V$16</c:f>
              <c:numCache>
                <c:formatCode>"$"#,##0</c:formatCode>
                <c:ptCount val="13"/>
                <c:pt idx="0">
                  <c:v>785.50588235294117</c:v>
                </c:pt>
                <c:pt idx="1">
                  <c:v>1229.369411764706</c:v>
                </c:pt>
                <c:pt idx="2">
                  <c:v>1547.7854411764706</c:v>
                </c:pt>
                <c:pt idx="3">
                  <c:v>1866.2014705882352</c:v>
                </c:pt>
                <c:pt idx="4">
                  <c:v>2184.6175000000003</c:v>
                </c:pt>
                <c:pt idx="5">
                  <c:v>2503.0335294117649</c:v>
                </c:pt>
                <c:pt idx="6">
                  <c:v>2821.4495588235295</c:v>
                </c:pt>
                <c:pt idx="7">
                  <c:v>2854.4144985076059</c:v>
                </c:pt>
                <c:pt idx="8">
                  <c:v>2887.3794381916823</c:v>
                </c:pt>
                <c:pt idx="9">
                  <c:v>2920.3443778757587</c:v>
                </c:pt>
                <c:pt idx="10">
                  <c:v>2953.3093175598351</c:v>
                </c:pt>
                <c:pt idx="11">
                  <c:v>2986.2742572439115</c:v>
                </c:pt>
                <c:pt idx="12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51-4FA3-B85D-A00184AA5E00}"/>
            </c:ext>
          </c:extLst>
        </c:ser>
        <c:ser>
          <c:idx val="3"/>
          <c:order val="3"/>
          <c:tx>
            <c:strRef>
              <c:f>'DataStorageAll+4K+Archive'!$W$2</c:f>
              <c:strCache>
                <c:ptCount val="1"/>
                <c:pt idx="0">
                  <c:v>Video Archive Conversion to File Data annual storage 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'DataStorageAll+4K+Archive'!$W$4:$W$16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31833.808068705883</c:v>
                </c:pt>
                <c:pt idx="3">
                  <c:v>42261.516196411765</c:v>
                </c:pt>
                <c:pt idx="4">
                  <c:v>20855.416255411765</c:v>
                </c:pt>
                <c:pt idx="5">
                  <c:v>20855.416255411765</c:v>
                </c:pt>
                <c:pt idx="6">
                  <c:v>20855.416255411765</c:v>
                </c:pt>
                <c:pt idx="7">
                  <c:v>20855.416255411765</c:v>
                </c:pt>
                <c:pt idx="8">
                  <c:v>20855.416255411765</c:v>
                </c:pt>
                <c:pt idx="9">
                  <c:v>20855.416255411765</c:v>
                </c:pt>
                <c:pt idx="10">
                  <c:v>20855.416255411765</c:v>
                </c:pt>
                <c:pt idx="11">
                  <c:v>20855.416255411765</c:v>
                </c:pt>
                <c:pt idx="12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51-4FA3-B85D-A00184AA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38880"/>
        <c:axId val="208441624"/>
      </c:areaChart>
      <c:catAx>
        <c:axId val="2084388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41624"/>
        <c:crosses val="autoZero"/>
        <c:auto val="1"/>
        <c:lblAlgn val="ctr"/>
        <c:lblOffset val="100"/>
        <c:noMultiLvlLbl val="0"/>
      </c:catAx>
      <c:valAx>
        <c:axId val="208441624"/>
        <c:scaling>
          <c:orientation val="minMax"/>
          <c:max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38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187690432663011E-2"/>
                <c:y val="0.398741986145174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600" b="1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85195162008258E-2"/>
          <c:y val="0.86587493808393257"/>
          <c:w val="0.97279598547988522"/>
          <c:h val="0.11026389054947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All Video Storage 10 Year</a:t>
            </a:r>
            <a:r>
              <a:rPr lang="en-US" sz="1600" b="1" baseline="0"/>
              <a:t> </a:t>
            </a:r>
            <a:r>
              <a:rPr lang="en-US" sz="1600" b="1" u="sng" baseline="0"/>
              <a:t>Cumulative</a:t>
            </a:r>
            <a:r>
              <a:rPr lang="en-US" sz="1600" b="1" baseline="0"/>
              <a:t> Cost Comparison (2030)</a:t>
            </a:r>
            <a:r>
              <a:rPr lang="en-US" sz="1600" b="1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'DataStorageAll+4K+Archive'!$X$2:$AA$2</c:f>
              <c:strCache>
                <c:ptCount val="4"/>
                <c:pt idx="0">
                  <c:v>Model A Annual Cost of ALL Video Storage with All 4K</c:v>
                </c:pt>
                <c:pt idx="1">
                  <c:v>Model B Annual Cost of ALL Video Storage 4K Annotation Selects</c:v>
                </c:pt>
                <c:pt idx="2">
                  <c:v>Model C Annual Cost of ALL Video Storage 4K Real-Time Selects</c:v>
                </c:pt>
                <c:pt idx="3">
                  <c:v>Model D Annual Cost of ALL Video Storage 4K Annotation Selects + Mezzanine</c:v>
                </c:pt>
              </c:strCache>
            </c:strRef>
          </c:cat>
          <c:val>
            <c:numRef>
              <c:f>'DataStorageAll+4K+Archive'!$X$17:$AA$17</c:f>
              <c:numCache>
                <c:formatCode>"$"#,##0</c:formatCode>
                <c:ptCount val="4"/>
                <c:pt idx="0">
                  <c:v>1664264.0951313013</c:v>
                </c:pt>
                <c:pt idx="1">
                  <c:v>1395621.4113334666</c:v>
                </c:pt>
                <c:pt idx="2">
                  <c:v>1175350.5033334668</c:v>
                </c:pt>
                <c:pt idx="3">
                  <c:v>941174.33861023583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A-4515-A468-AF0BA0EE2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440056"/>
        <c:axId val="208440448"/>
      </c:barChart>
      <c:catAx>
        <c:axId val="208440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40448"/>
        <c:crosses val="autoZero"/>
        <c:auto val="1"/>
        <c:lblAlgn val="ctr"/>
        <c:lblOffset val="100"/>
        <c:noMultiLvlLbl val="0"/>
      </c:catAx>
      <c:valAx>
        <c:axId val="20844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40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Video Storage Annual Cost Comparison after 10 Years (2030)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'DataStorageAll+4K+Archive'!$X$2:$AA$2</c:f>
              <c:strCache>
                <c:ptCount val="4"/>
                <c:pt idx="0">
                  <c:v>Model A Annual Cost of ALL Video Storage with All 4K</c:v>
                </c:pt>
                <c:pt idx="1">
                  <c:v>Model B Annual Cost of ALL Video Storage 4K Annotation Selects</c:v>
                </c:pt>
                <c:pt idx="2">
                  <c:v>Model C Annual Cost of ALL Video Storage 4K Real-Time Selects</c:v>
                </c:pt>
                <c:pt idx="3">
                  <c:v>Model D Annual Cost of ALL Video Storage 4K Annotation Selects + Mezzanine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'DataStorageAll+4K+Archive'!$X$2:$AA$2</c:f>
              <c:strCache>
                <c:ptCount val="4"/>
                <c:pt idx="0">
                  <c:v>Model A Annual Cost of ALL Video Storage with All 4K</c:v>
                </c:pt>
                <c:pt idx="1">
                  <c:v>Model B Annual Cost of ALL Video Storage 4K Annotation Selects</c:v>
                </c:pt>
                <c:pt idx="2">
                  <c:v>Model C Annual Cost of ALL Video Storage 4K Real-Time Selects</c:v>
                </c:pt>
                <c:pt idx="3">
                  <c:v>Model D Annual Cost of ALL Video Storage 4K Annotation Selects + Mezzanine</c:v>
                </c:pt>
              </c:strCache>
            </c:strRef>
          </c:cat>
          <c:val>
            <c:numRef>
              <c:f>'DataStorageAll+4K+Archive'!$X$16:$AA$16</c:f>
              <c:numCache>
                <c:formatCode>"$"#,##0</c:formatCode>
                <c:ptCount val="4"/>
                <c:pt idx="0">
                  <c:v>170421.01581670792</c:v>
                </c:pt>
                <c:pt idx="1">
                  <c:v>138374.76515178039</c:v>
                </c:pt>
                <c:pt idx="2">
                  <c:v>116634.01715178037</c:v>
                </c:pt>
                <c:pt idx="3">
                  <c:v>90444.808407327859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D-4393-96D9-80CBC88F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435744"/>
        <c:axId val="208436528"/>
      </c:barChart>
      <c:catAx>
        <c:axId val="20843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36528"/>
        <c:crosses val="autoZero"/>
        <c:auto val="1"/>
        <c:lblAlgn val="ctr"/>
        <c:lblOffset val="100"/>
        <c:noMultiLvlLbl val="0"/>
      </c:catAx>
      <c:valAx>
        <c:axId val="20843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43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Projected 2030 Titan Space Allocation with HD Video and No Titan System Expansion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22824967675501"/>
          <c:y val="6.174300254452926E-2"/>
          <c:w val="0.7695218683947691"/>
          <c:h val="0.796543246979623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1-4C25-B446-401A22EA67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11-4C25-B446-401A22EA67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11-4C25-B446-401A22EA67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11-4C25-B446-401A22EA67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11-4C25-B446-401A22EA672C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B11-4C25-B446-401A22EA672C}"/>
              </c:ext>
            </c:extLst>
          </c:dPt>
          <c:dLbls>
            <c:dLbl>
              <c:idx val="0"/>
              <c:layout>
                <c:manualLayout>
                  <c:x val="-9.2600980187211111E-3"/>
                  <c:y val="-1.23299473062050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1-4C25-B446-401A22EA672C}"/>
                </c:ext>
              </c:extLst>
            </c:dLbl>
            <c:dLbl>
              <c:idx val="2"/>
              <c:layout>
                <c:manualLayout>
                  <c:x val="2.004428649958578E-2"/>
                  <c:y val="-3.14900522930816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1-4C25-B446-401A22EA672C}"/>
                </c:ext>
              </c:extLst>
            </c:dLbl>
            <c:dLbl>
              <c:idx val="3"/>
              <c:layout>
                <c:manualLayout>
                  <c:x val="-9.4137555261344541E-2"/>
                  <c:y val="-1.970547574682935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1-4C25-B446-401A22EA672C}"/>
                </c:ext>
              </c:extLst>
            </c:dLbl>
            <c:dLbl>
              <c:idx val="4"/>
              <c:layout>
                <c:manualLayout>
                  <c:x val="4.077338783979436E-4"/>
                  <c:y val="2.75560497685880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1-4C25-B446-401A22EA672C}"/>
                </c:ext>
              </c:extLst>
            </c:dLbl>
            <c:dLbl>
              <c:idx val="5"/>
              <c:layout>
                <c:manualLayout>
                  <c:x val="-5.6430639754101557E-2"/>
                  <c:y val="1.536074212097533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1-4C25-B446-401A22EA6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('DataStorageAll+4K+Archive'!$B$2,'DataStorageAll+4K+Archive'!$H$2,'DataStorageAll+4K+Archive'!$I$2,'DataStorageAll+4K+Archive'!$J$2,'DataStorageAll+4K+Archive'!$K$2,'DataStorageAll+4K+Archive'!$N$2)</c:f>
              <c:strCache>
                <c:ptCount val="6"/>
                <c:pt idx="0">
                  <c:v>Stay with HD Cumulative VideoData Main ROV Cameras HD</c:v>
                </c:pt>
                <c:pt idx="1">
                  <c:v>Cumulative VideoData All other Sources TB</c:v>
                </c:pt>
                <c:pt idx="2">
                  <c:v>Video Archive Conversion to File Data TB</c:v>
                </c:pt>
                <c:pt idx="3">
                  <c:v>Cumulative All Non-Video Data TB</c:v>
                </c:pt>
                <c:pt idx="4">
                  <c:v>Netbackup Space 326 Slots at 12TB per slot TB</c:v>
                </c:pt>
                <c:pt idx="5">
                  <c:v>System Unused Space TB without 2023 expansion (HD only)</c:v>
                </c:pt>
              </c:strCache>
            </c:strRef>
          </c:cat>
          <c:val>
            <c:numRef>
              <c:f>('DataStorageAll+4K+Archive'!$B$16,'DataStorageAll+4K+Archive'!$H$16,'DataStorageAll+4K+Archive'!$I$16,'DataStorageAll+4K+Archive'!$J$16,'DataStorageAll+4K+Archive'!$K$16,'DataStorageAll+4K+Archive'!$N$16)</c:f>
              <c:numCache>
                <c:formatCode>0</c:formatCode>
                <c:ptCount val="6"/>
                <c:pt idx="0">
                  <c:v>4100.3999999999996</c:v>
                </c:pt>
                <c:pt idx="1">
                  <c:v>317</c:v>
                </c:pt>
                <c:pt idx="2">
                  <c:v>1621.0602000000001</c:v>
                </c:pt>
                <c:pt idx="3">
                  <c:v>1910</c:v>
                </c:pt>
                <c:pt idx="4">
                  <c:v>3912</c:v>
                </c:pt>
                <c:pt idx="5">
                  <c:v>3439.5398000000005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11-4C25-B446-401A22EA6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680726856045634E-3"/>
          <c:y val="0.89757267936927732"/>
          <c:w val="0.99154743378316634"/>
          <c:h val="9.47937328444631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Projected 2030 Titan Space Allocation with Model A 4K Video and 2023</a:t>
            </a:r>
            <a:r>
              <a:rPr lang="en-US" sz="1600" b="1" baseline="0"/>
              <a:t> </a:t>
            </a:r>
            <a:r>
              <a:rPr lang="en-US" sz="1600" b="1"/>
              <a:t>Titan System Expansion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715767658808045"/>
          <c:y val="7.3193384223918578E-2"/>
          <c:w val="0.75867584916988018"/>
          <c:h val="0.7899495101280279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7A-4D47-BCED-2A189B8103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7A-4D47-BCED-2A189B8103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B7A-4D47-BCED-2A189B8103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7A-4D47-BCED-2A189B8103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B7A-4D47-BCED-2A189B8103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B7A-4D47-BCED-2A189B810321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7A-4D47-BCED-2A189B810321}"/>
              </c:ext>
            </c:extLst>
          </c:dPt>
          <c:dLbls>
            <c:dLbl>
              <c:idx val="0"/>
              <c:layout>
                <c:manualLayout>
                  <c:x val="6.576058720299259E-2"/>
                  <c:y val="1.42310312355993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A-4D47-BCED-2A189B810321}"/>
                </c:ext>
              </c:extLst>
            </c:dLbl>
            <c:dLbl>
              <c:idx val="1"/>
              <c:layout>
                <c:manualLayout>
                  <c:x val="9.7680513542845269E-3"/>
                  <c:y val="-2.41670172907775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A-4D47-BCED-2A189B810321}"/>
                </c:ext>
              </c:extLst>
            </c:dLbl>
            <c:dLbl>
              <c:idx val="3"/>
              <c:layout>
                <c:manualLayout>
                  <c:x val="2.9587451220356987E-2"/>
                  <c:y val="-1.61709843521468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A-4D47-BCED-2A189B810321}"/>
                </c:ext>
              </c:extLst>
            </c:dLbl>
            <c:dLbl>
              <c:idx val="4"/>
              <c:layout>
                <c:manualLayout>
                  <c:x val="-2.4671001993519095E-2"/>
                  <c:y val="-5.356234096692112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A-4D47-BCED-2A189B810321}"/>
                </c:ext>
              </c:extLst>
            </c:dLbl>
            <c:dLbl>
              <c:idx val="5"/>
              <c:layout>
                <c:manualLayout>
                  <c:x val="-1.6454326090470362E-2"/>
                  <c:y val="-1.58073370599668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A-4D47-BCED-2A189B810321}"/>
                </c:ext>
              </c:extLst>
            </c:dLbl>
            <c:dLbl>
              <c:idx val="6"/>
              <c:layout>
                <c:manualLayout>
                  <c:x val="-1.7254331478359926E-2"/>
                  <c:y val="2.737172166456315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A-4D47-BCED-2A189B810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('DataStorageAll+4K+Archive'!$C$2,'DataStorageAll+4K+Archive'!$D$2,'DataStorageAll+4K+Archive'!$H$2,'DataStorageAll+4K+Archive'!$I$2,'DataStorageAll+4K+Archive'!$J$2,'DataStorageAll+4K+Archive'!$K$2,'DataStorageAll+4K+Archive'!$O$2)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A Cumulative VideoData Main ROV Cameras 4K HQ + Mezz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('DataStorageAll+4K+Archive'!$C$16,'DataStorageAll+4K+Archive'!$D$16,'DataStorageAll+4K+Archive'!$H$16,'DataStorageAll+4K+Archive'!$I$16,'DataStorageAll+4K+Archive'!$J$16,'DataStorageAll+4K+Archive'!$K$16,'DataStorageAll+4K+Archive'!$O$16)</c:f>
              <c:numCache>
                <c:formatCode>0</c:formatCode>
                <c:ptCount val="7"/>
                <c:pt idx="0">
                  <c:v>653.40000000000009</c:v>
                </c:pt>
                <c:pt idx="1">
                  <c:v>15391.200000000004</c:v>
                </c:pt>
                <c:pt idx="2">
                  <c:v>317</c:v>
                </c:pt>
                <c:pt idx="3">
                  <c:v>1621.0602000000001</c:v>
                </c:pt>
                <c:pt idx="4">
                  <c:v>1910</c:v>
                </c:pt>
                <c:pt idx="5">
                  <c:v>3912</c:v>
                </c:pt>
                <c:pt idx="6">
                  <c:v>12975.339799999994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7A-4D47-BCED-2A189B810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28828287959606E-2"/>
          <c:y val="0.8936772454969848"/>
          <c:w val="0.9460766542745207"/>
          <c:h val="9.868916671675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Projected 2030 Titan Space Allocation with Model B 4K Video and 2023</a:t>
            </a:r>
            <a:r>
              <a:rPr lang="en-US" sz="1600" b="1" baseline="0"/>
              <a:t> </a:t>
            </a:r>
            <a:r>
              <a:rPr lang="en-US" sz="1600" b="1"/>
              <a:t>Titan System Expansion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14887893412151"/>
          <c:y val="8.846055979643766E-2"/>
          <c:w val="0.72324085405746563"/>
          <c:h val="0.75305383582777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6F-4EEB-9436-DCC29C18B0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6F-4EEB-9436-DCC29C18B0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6F-4EEB-9436-DCC29C18B0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6F-4EEB-9436-DCC29C18B0E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6F-4EEB-9436-DCC29C18B0E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6F-4EEB-9436-DCC29C18B0ED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6F-4EEB-9436-DCC29C18B0ED}"/>
              </c:ext>
            </c:extLst>
          </c:dPt>
          <c:dLbls>
            <c:dLbl>
              <c:idx val="0"/>
              <c:layout>
                <c:manualLayout>
                  <c:x val="2.9269228993003351E-2"/>
                  <c:y val="9.223918575063612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06F-4EEB-9436-DCC29C18B0ED}"/>
                </c:ext>
              </c:extLst>
            </c:dLbl>
            <c:dLbl>
              <c:idx val="1"/>
              <c:layout>
                <c:manualLayout>
                  <c:x val="-7.7710685724401748E-4"/>
                  <c:y val="-6.711947266133717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06F-4EEB-9436-DCC29C18B0ED}"/>
                </c:ext>
              </c:extLst>
            </c:dLbl>
            <c:dLbl>
              <c:idx val="3"/>
              <c:layout>
                <c:manualLayout>
                  <c:x val="-2.7775051762224737E-3"/>
                  <c:y val="1.93620644747650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06F-4EEB-9436-DCC29C18B0ED}"/>
                </c:ext>
              </c:extLst>
            </c:dLbl>
            <c:dLbl>
              <c:idx val="4"/>
              <c:layout>
                <c:manualLayout>
                  <c:x val="4.7131093125822615E-2"/>
                  <c:y val="-2.657740778585873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06F-4EEB-9436-DCC29C18B0ED}"/>
                </c:ext>
              </c:extLst>
            </c:dLbl>
            <c:dLbl>
              <c:idx val="5"/>
              <c:layout>
                <c:manualLayout>
                  <c:x val="-9.0434042610509469E-2"/>
                  <c:y val="-4.73854460940474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06F-4EEB-9436-DCC29C18B0ED}"/>
                </c:ext>
              </c:extLst>
            </c:dLbl>
            <c:dLbl>
              <c:idx val="6"/>
              <c:layout>
                <c:manualLayout>
                  <c:x val="6.5949211443877432E-3"/>
                  <c:y val="-3.854641261445372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06F-4EEB-9436-DCC29C18B0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('DataStorageAll+4K+Archive'!$C$2,'DataStorageAll+4K+Archive'!$E$2,'DataStorageAll+4K+Archive'!$H$2,'DataStorageAll+4K+Archive'!$I$2,'DataStorageAll+4K+Archive'!$J$2,'DataStorageAll+4K+Archive'!$K$2,'DataStorageAll+4K+Archive'!$O$2)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B Cumulative VideoData Main ROV Cameras 4K HQ Post Selects + LT + Mezz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('DataStorageAll+4K+Archive'!$C$16,'DataStorageAll+4K+Archive'!$E$16,'DataStorageAll+4K+Archive'!$H$16,'DataStorageAll+4K+Archive'!$I$16,'DataStorageAll+4K+Archive'!$J$16,'DataStorageAll+4K+Archive'!$K$16,'DataStorageAll+4K+Archive'!$O$16)</c:f>
              <c:numCache>
                <c:formatCode>0</c:formatCode>
                <c:ptCount val="7"/>
                <c:pt idx="0">
                  <c:v>653.40000000000009</c:v>
                </c:pt>
                <c:pt idx="1">
                  <c:v>9398.4000000000033</c:v>
                </c:pt>
                <c:pt idx="2">
                  <c:v>317</c:v>
                </c:pt>
                <c:pt idx="3">
                  <c:v>1621.0602000000001</c:v>
                </c:pt>
                <c:pt idx="4">
                  <c:v>1910</c:v>
                </c:pt>
                <c:pt idx="5">
                  <c:v>3912</c:v>
                </c:pt>
                <c:pt idx="6">
                  <c:v>12975.339799999994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6F-4EEB-9436-DCC29C18B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169251267255719"/>
          <c:w val="1"/>
          <c:h val="0.13558484101701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Projected 2030 Titan Space Allocation with Model C 4K Video and 2023</a:t>
            </a:r>
            <a:r>
              <a:rPr lang="en-US" sz="1600" b="1" baseline="0"/>
              <a:t> </a:t>
            </a:r>
            <a:r>
              <a:rPr lang="en-US" sz="1600" b="1"/>
              <a:t>Titan System Expansion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014887893412151"/>
          <c:y val="8.846055979643766E-2"/>
          <c:w val="0.72324085405746563"/>
          <c:h val="0.75305383582777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CA-4250-9906-C454025A5B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CA-4250-9906-C454025A5B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CA-4250-9906-C454025A5B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CA-4250-9906-C454025A5B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CA-4250-9906-C454025A5B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CA-4250-9906-C454025A5BFB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CA-4250-9906-C454025A5BFB}"/>
              </c:ext>
            </c:extLst>
          </c:dPt>
          <c:dLbls>
            <c:dLbl>
              <c:idx val="0"/>
              <c:layout>
                <c:manualLayout>
                  <c:x val="1.0841395925216093E-2"/>
                  <c:y val="5.315060808238665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DCA-4250-9906-C454025A5BFB}"/>
                </c:ext>
              </c:extLst>
            </c:dLbl>
            <c:dLbl>
              <c:idx val="1"/>
              <c:layout>
                <c:manualLayout>
                  <c:x val="-9.3303815395509582E-3"/>
                  <c:y val="-5.4396826350904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DCA-4250-9906-C454025A5BFB}"/>
                </c:ext>
              </c:extLst>
            </c:dLbl>
            <c:dLbl>
              <c:idx val="3"/>
              <c:layout>
                <c:manualLayout>
                  <c:x val="6.9976658892711725E-3"/>
                  <c:y val="2.8226242712027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DCA-4250-9906-C454025A5BFB}"/>
                </c:ext>
              </c:extLst>
            </c:dLbl>
            <c:dLbl>
              <c:idx val="4"/>
              <c:layout>
                <c:manualLayout>
                  <c:x val="6.0571953340876381E-2"/>
                  <c:y val="-3.03942016789886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DCA-4250-9906-C454025A5BFB}"/>
                </c:ext>
              </c:extLst>
            </c:dLbl>
            <c:dLbl>
              <c:idx val="5"/>
              <c:layout>
                <c:manualLayout>
                  <c:x val="-0.10998438474149676"/>
                  <c:y val="-4.86577107250905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DCA-4250-9906-C454025A5BFB}"/>
                </c:ext>
              </c:extLst>
            </c:dLbl>
            <c:dLbl>
              <c:idx val="6"/>
              <c:layout>
                <c:manualLayout>
                  <c:x val="-2.2702449950354434E-2"/>
                  <c:y val="-2.83354370779988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DCA-4250-9906-C454025A5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('DataStorageAll+4K+Archive'!$C$2,'DataStorageAll+4K+Archive'!$F$2,'DataStorageAll+4K+Archive'!$H$2,'DataStorageAll+4K+Archive'!$I$2,'DataStorageAll+4K+Archive'!$J$2,'DataStorageAll+4K+Archive'!$K$2,'DataStorageAll+4K+Archive'!$O$2)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C Cumulative VideoData Main ROV Cameras 4K HQ Realtime Selects + LT + Mezz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('DataStorageAll+4K+Archive'!$C$16,'DataStorageAll+4K+Archive'!$F$16,'DataStorageAll+4K+Archive'!$H$16,'DataStorageAll+4K+Archive'!$I$16,'DataStorageAll+4K+Archive'!$J$16,'DataStorageAll+4K+Archive'!$K$16,'DataStorageAll+4K+Archive'!$O$16)</c:f>
              <c:numCache>
                <c:formatCode>0</c:formatCode>
                <c:ptCount val="7"/>
                <c:pt idx="0">
                  <c:v>653.40000000000009</c:v>
                </c:pt>
                <c:pt idx="1">
                  <c:v>9398.4000000000033</c:v>
                </c:pt>
                <c:pt idx="2">
                  <c:v>317</c:v>
                </c:pt>
                <c:pt idx="3">
                  <c:v>1621.0602000000001</c:v>
                </c:pt>
                <c:pt idx="4">
                  <c:v>1910</c:v>
                </c:pt>
                <c:pt idx="5">
                  <c:v>3912</c:v>
                </c:pt>
                <c:pt idx="6">
                  <c:v>12975.339799999994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CA-4250-9906-C454025A5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169251267255719"/>
          <c:w val="1"/>
          <c:h val="0.13558484101701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Projected 2030 Titan Space Allocation with Model D 4K Video and 2023</a:t>
            </a:r>
            <a:r>
              <a:rPr lang="en-US" sz="1600" b="1" baseline="0"/>
              <a:t> </a:t>
            </a:r>
            <a:r>
              <a:rPr lang="en-US" sz="1600" b="1"/>
              <a:t>Titan System Expansion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625836085005503"/>
          <c:y val="9.3549618320610692E-2"/>
          <c:w val="0.69391534086098461"/>
          <c:h val="0.7225194846827351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C2-4BE7-8789-8F52F8EACC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C2-4BE7-8789-8F52F8EACC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C2-4BE7-8789-8F52F8EACC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C2-4BE7-8789-8F52F8EACC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C2-4BE7-8789-8F52F8EACC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C2-4BE7-8789-8F52F8EACC13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9C2-4BE7-8789-8F52F8EACC13}"/>
              </c:ext>
            </c:extLst>
          </c:dPt>
          <c:dLbls>
            <c:dLbl>
              <c:idx val="0"/>
              <c:layout>
                <c:manualLayout>
                  <c:x val="1.1611767920505538E-2"/>
                  <c:y val="-1.352106750015026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C2-4BE7-8789-8F52F8EACC13}"/>
                </c:ext>
              </c:extLst>
            </c:dLbl>
            <c:dLbl>
              <c:idx val="1"/>
              <c:layout>
                <c:manualLayout>
                  <c:x val="2.2427619476451076E-2"/>
                  <c:y val="8.440123419687042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C2-4BE7-8789-8F52F8EACC13}"/>
                </c:ext>
              </c:extLst>
            </c:dLbl>
            <c:dLbl>
              <c:idx val="3"/>
              <c:layout>
                <c:manualLayout>
                  <c:x val="1.721517306670977E-2"/>
                  <c:y val="1.28961551561779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C2-4BE7-8789-8F52F8EACC13}"/>
                </c:ext>
              </c:extLst>
            </c:dLbl>
            <c:dLbl>
              <c:idx val="4"/>
              <c:layout>
                <c:manualLayout>
                  <c:x val="2.039667374789295E-2"/>
                  <c:y val="1.15356334275009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9C2-4BE7-8789-8F52F8EACC13}"/>
                </c:ext>
              </c:extLst>
            </c:dLbl>
            <c:dLbl>
              <c:idx val="5"/>
              <c:layout>
                <c:manualLayout>
                  <c:x val="4.8248743467183906E-2"/>
                  <c:y val="-2.1910901404500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9C2-4BE7-8789-8F52F8EACC13}"/>
                </c:ext>
              </c:extLst>
            </c:dLbl>
            <c:dLbl>
              <c:idx val="6"/>
              <c:layout>
                <c:manualLayout>
                  <c:x val="-1.5928044734877349E-2"/>
                  <c:y val="-3.34081665364348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F9C2-4BE7-8789-8F52F8EAC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('DataStorageAll+4K+Archive'!$C$2,'DataStorageAll+4K+Archive'!$G$2,'DataStorageAll+4K+Archive'!$H$2,'DataStorageAll+4K+Archive'!$I$2,'DataStorageAll+4K+Archive'!$J$2,'DataStorageAll+4K+Archive'!$K$2,'DataStorageAll+4K+Archive'!$O$2)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D Cumulative VideoData Main ROV Cameras 4K HQ Post Selects + Mezz only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('DataStorageAll+4K+Archive'!$C$16,'DataStorageAll+4K+Archive'!$G$16,'DataStorageAll+4K+Archive'!$H$16,'DataStorageAll+4K+Archive'!$I$16,'DataStorageAll+4K+Archive'!$J$16,'DataStorageAll+4K+Archive'!$K$16,'DataStorageAll+4K+Archive'!$O$16)</c:f>
              <c:numCache>
                <c:formatCode>0</c:formatCode>
                <c:ptCount val="7"/>
                <c:pt idx="0">
                  <c:v>653.40000000000009</c:v>
                </c:pt>
                <c:pt idx="1">
                  <c:v>4197.6000000000013</c:v>
                </c:pt>
                <c:pt idx="2">
                  <c:v>317</c:v>
                </c:pt>
                <c:pt idx="3">
                  <c:v>1621.0602000000001</c:v>
                </c:pt>
                <c:pt idx="4">
                  <c:v>1910</c:v>
                </c:pt>
                <c:pt idx="5">
                  <c:v>3912</c:v>
                </c:pt>
                <c:pt idx="6">
                  <c:v>12975.339799999994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C2-4BE7-8789-8F52F8EAC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169251267255719"/>
          <c:w val="1"/>
          <c:h val="0.135584841017010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Stay with Main Cameras HD 60P HQ + Mezz Total Annual $97,856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7E-4E25-80DE-2F7377E68B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7E-4E25-80DE-2F7377E68B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7E-4E25-80DE-2F7377E68B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E-4E25-80DE-2F7377E68BAD}"/>
              </c:ext>
            </c:extLst>
          </c:dPt>
          <c:dLbls>
            <c:dLbl>
              <c:idx val="0"/>
              <c:layout>
                <c:manualLayout>
                  <c:x val="3.0707839999381519E-2"/>
                  <c:y val="-3.32522148323692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E-4E25-80DE-2F7377E68BAD}"/>
                </c:ext>
              </c:extLst>
            </c:dLbl>
            <c:dLbl>
              <c:idx val="1"/>
              <c:layout>
                <c:manualLayout>
                  <c:x val="3.5168429332931232E-2"/>
                  <c:y val="-2.8177636775985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E-4E25-80DE-2F7377E68BAD}"/>
                </c:ext>
              </c:extLst>
            </c:dLbl>
            <c:dLbl>
              <c:idx val="3"/>
              <c:layout>
                <c:manualLayout>
                  <c:x val="-6.0159683647791453E-3"/>
                  <c:y val="-1.6181654477656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E-4E25-80DE-2F7377E68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('DataStorageAll+4K+Archive'!$R$20,'DataStorageAll+4K+Archive'!$S$20,'DataStorageAll+4K+Archive'!$W$20,'DataStorageAll+4K+Archive'!$X$20)</c:f>
              <c:strCache>
                <c:ptCount val="4"/>
                <c:pt idx="0">
                  <c:v>New Video Storage Tape Cost (includes backup tape)</c:v>
                </c:pt>
                <c:pt idx="1">
                  <c:v>Annual Fixed and backup costs for first 15 PB</c:v>
                </c:pt>
                <c:pt idx="2">
                  <c:v>Annual all other Video Data Projected Fixed Cost + Tape HD</c:v>
                </c:pt>
                <c:pt idx="3">
                  <c:v>Annual Converted Video Archive On-line and cold storage </c:v>
                </c:pt>
              </c:strCache>
            </c:strRef>
          </c:cat>
          <c:val>
            <c:numRef>
              <c:f>('DataStorageAll+4K+Archive'!$R$21,'DataStorageAll+4K+Archive'!$S$21,'DataStorageAll+4K+Archive'!$W$21,'DataStorageAll+4K+Archive'!$X$21)</c:f>
              <c:numCache>
                <c:formatCode>"$"#,##0</c:formatCode>
                <c:ptCount val="4"/>
                <c:pt idx="0">
                  <c:v>8628.1469999999954</c:v>
                </c:pt>
                <c:pt idx="1">
                  <c:v>52752.851999999992</c:v>
                </c:pt>
                <c:pt idx="2">
                  <c:v>3019.2391969279879</c:v>
                </c:pt>
                <c:pt idx="3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7E-4E25-80DE-2F7377E68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Model A - Keep all 4K Total Annual $169,560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1659648429868597"/>
          <c:w val="0.52468312594946254"/>
          <c:h val="0.576472237086869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F-44A8-8B26-46CDD03E16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DF-44A8-8B26-46CDD03E16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DF-44A8-8B26-46CDD03E16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F-44A8-8B26-46CDD03E16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2DF-44A8-8B26-46CDD03E16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2DF-44A8-8B26-46CDD03E16D9}"/>
              </c:ext>
            </c:extLst>
          </c:dPt>
          <c:dLbls>
            <c:dLbl>
              <c:idx val="0"/>
              <c:layout>
                <c:manualLayout>
                  <c:x val="3.472268930301229E-2"/>
                  <c:y val="3.32458442694660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DF-44A8-8B26-46CDD03E16D9}"/>
                </c:ext>
              </c:extLst>
            </c:dLbl>
            <c:dLbl>
              <c:idx val="1"/>
              <c:layout>
                <c:manualLayout>
                  <c:x val="6.5549344991669853E-2"/>
                  <c:y val="-7.3888973829727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F-44A8-8B26-46CDD03E16D9}"/>
                </c:ext>
              </c:extLst>
            </c:dLbl>
            <c:dLbl>
              <c:idx val="2"/>
              <c:layout>
                <c:manualLayout>
                  <c:x val="-2.5098666790362566E-2"/>
                  <c:y val="1.0258835970746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DF-44A8-8B26-46CDD03E16D9}"/>
                </c:ext>
              </c:extLst>
            </c:dLbl>
            <c:dLbl>
              <c:idx val="3"/>
              <c:layout>
                <c:manualLayout>
                  <c:x val="-3.9154625646021055E-2"/>
                  <c:y val="9.21300189418070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DF-44A8-8B26-46CDD03E16D9}"/>
                </c:ext>
              </c:extLst>
            </c:dLbl>
            <c:dLbl>
              <c:idx val="4"/>
              <c:layout>
                <c:manualLayout>
                  <c:x val="-3.2629378157627204E-2"/>
                  <c:y val="-2.5717219206822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DF-44A8-8B26-46CDD03E16D9}"/>
                </c:ext>
              </c:extLst>
            </c:dLbl>
            <c:dLbl>
              <c:idx val="5"/>
              <c:layout>
                <c:manualLayout>
                  <c:x val="-3.7170128218508769E-3"/>
                  <c:y val="-3.18188381792081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DF-44A8-8B26-46CDD03E16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('DataStorageAll+4K+Archive'!$R$20,'DataStorageAll+4K+Archive'!$S$20,'DataStorageAll+4K+Archive'!$T$20,'DataStorageAll+4K+Archive'!$V$20,'DataStorageAll+4K+Archive'!$W$20,'DataStorageAll+4K+Archive'!$X$20)</c:f>
              <c:strCache>
                <c:ptCount val="6"/>
                <c:pt idx="0">
                  <c:v>New Video Storage Tape Cost (includes backup tape)</c:v>
                </c:pt>
                <c:pt idx="1">
                  <c:v>Annual Fixed and backup costs for first 15 PB</c:v>
                </c:pt>
                <c:pt idx="2">
                  <c:v>Annual Fixed and backup costs for &gt; 15 PB</c:v>
                </c:pt>
                <c:pt idx="3">
                  <c:v>Annual Previous 2 Main ROV Cameras Video Fixed Cost + Tape HD</c:v>
                </c:pt>
                <c:pt idx="4">
                  <c:v>Annual all other Video Data Projected Fixed Cost + Tape HD</c:v>
                </c:pt>
                <c:pt idx="5">
                  <c:v>Annual Converted Video Archive On-line and cold storage </c:v>
                </c:pt>
              </c:strCache>
            </c:strRef>
          </c:cat>
          <c:val>
            <c:numRef>
              <c:f>('DataStorageAll+4K+Archive'!$R$22,'DataStorageAll+4K+Archive'!$S$22,'DataStorageAll+4K+Archive'!$T$22,'DataStorageAll+4K+Archive'!$V$22,'DataStorageAll+4K+Archive'!$W$22,'DataStorageAll+4K+Archive'!$X$22)</c:f>
              <c:numCache>
                <c:formatCode>"$"#,##0</c:formatCode>
                <c:ptCount val="6"/>
                <c:pt idx="0">
                  <c:v>36952.872000000018</c:v>
                </c:pt>
                <c:pt idx="1">
                  <c:v>90005.597647058821</c:v>
                </c:pt>
                <c:pt idx="2">
                  <c:v>11181.707540838732</c:v>
                </c:pt>
                <c:pt idx="3">
                  <c:v>8406.1831764705894</c:v>
                </c:pt>
                <c:pt idx="4">
                  <c:v>3019.2391969279879</c:v>
                </c:pt>
                <c:pt idx="5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2DF-44A8-8B26-46CDD03E1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Video</a:t>
            </a:r>
            <a:r>
              <a:rPr lang="en-US" baseline="0"/>
              <a:t> Only </a:t>
            </a:r>
            <a:r>
              <a:rPr lang="en-US"/>
              <a:t>Data Storage Costs with</a:t>
            </a:r>
            <a:r>
              <a:rPr lang="en-US" baseline="0"/>
              <a:t> HD Cameras on ROV's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'DataStorageAll+4K+Archive'!$P$2</c:f>
              <c:strCache>
                <c:ptCount val="1"/>
                <c:pt idx="0">
                  <c:v>2 Main ROV Cameras Annual Video Fixed Cost + Tape HD switch stay with HD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'DataStorageAll+4K+Archive'!$P$4:$P$16</c:f>
              <c:numCache>
                <c:formatCode>"$"#,##0</c:formatCode>
                <c:ptCount val="13"/>
                <c:pt idx="0">
                  <c:v>7069.552941176471</c:v>
                </c:pt>
                <c:pt idx="1">
                  <c:v>15146.991529411767</c:v>
                </c:pt>
                <c:pt idx="2">
                  <c:v>19350.08311764706</c:v>
                </c:pt>
                <c:pt idx="3">
                  <c:v>23553.174705882353</c:v>
                </c:pt>
                <c:pt idx="4">
                  <c:v>27756.26629411765</c:v>
                </c:pt>
                <c:pt idx="5">
                  <c:v>31959.357882352946</c:v>
                </c:pt>
                <c:pt idx="6">
                  <c:v>36162.449470588239</c:v>
                </c:pt>
                <c:pt idx="7">
                  <c:v>40365.541058823539</c:v>
                </c:pt>
                <c:pt idx="8">
                  <c:v>44568.632647058825</c:v>
                </c:pt>
                <c:pt idx="9">
                  <c:v>48771.724235294118</c:v>
                </c:pt>
                <c:pt idx="10">
                  <c:v>52974.81582352941</c:v>
                </c:pt>
                <c:pt idx="11">
                  <c:v>57177.907411764703</c:v>
                </c:pt>
                <c:pt idx="12">
                  <c:v>61380.998999999989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2-4030-BF00-52C200CFAA35}"/>
            </c:ext>
          </c:extLst>
        </c:ser>
        <c:ser>
          <c:idx val="2"/>
          <c:order val="1"/>
          <c:tx>
            <c:strRef>
              <c:f>'DataStorageAll+4K+Archive'!$V$2</c:f>
              <c:strCache>
                <c:ptCount val="1"/>
                <c:pt idx="0">
                  <c:v>All other Video Data Projected Annual Fixed Cost + Tape HD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'DataStorageAll+4K+Archive'!$V$4:$V$16</c:f>
              <c:numCache>
                <c:formatCode>"$"#,##0</c:formatCode>
                <c:ptCount val="13"/>
                <c:pt idx="0">
                  <c:v>785.50588235294117</c:v>
                </c:pt>
                <c:pt idx="1">
                  <c:v>1229.369411764706</c:v>
                </c:pt>
                <c:pt idx="2">
                  <c:v>1547.7854411764706</c:v>
                </c:pt>
                <c:pt idx="3">
                  <c:v>1866.2014705882352</c:v>
                </c:pt>
                <c:pt idx="4">
                  <c:v>2184.6175000000003</c:v>
                </c:pt>
                <c:pt idx="5">
                  <c:v>2503.0335294117649</c:v>
                </c:pt>
                <c:pt idx="6">
                  <c:v>2821.4495588235295</c:v>
                </c:pt>
                <c:pt idx="7">
                  <c:v>2854.4144985076059</c:v>
                </c:pt>
                <c:pt idx="8">
                  <c:v>2887.3794381916823</c:v>
                </c:pt>
                <c:pt idx="9">
                  <c:v>2920.3443778757587</c:v>
                </c:pt>
                <c:pt idx="10">
                  <c:v>2953.3093175598351</c:v>
                </c:pt>
                <c:pt idx="11">
                  <c:v>2986.2742572439115</c:v>
                </c:pt>
                <c:pt idx="12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2-4030-BF00-52C200CFAA35}"/>
            </c:ext>
          </c:extLst>
        </c:ser>
        <c:ser>
          <c:idx val="3"/>
          <c:order val="2"/>
          <c:tx>
            <c:strRef>
              <c:f>'DataStorageAll+4K+Archive'!$W$2</c:f>
              <c:strCache>
                <c:ptCount val="1"/>
                <c:pt idx="0">
                  <c:v>Video Archive Conversion to File Data annual storage 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'DataStorageAll+4K+Archive'!$W$4:$W$16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31833.808068705883</c:v>
                </c:pt>
                <c:pt idx="3">
                  <c:v>42261.516196411765</c:v>
                </c:pt>
                <c:pt idx="4">
                  <c:v>20855.416255411765</c:v>
                </c:pt>
                <c:pt idx="5">
                  <c:v>20855.416255411765</c:v>
                </c:pt>
                <c:pt idx="6">
                  <c:v>20855.416255411765</c:v>
                </c:pt>
                <c:pt idx="7">
                  <c:v>20855.416255411765</c:v>
                </c:pt>
                <c:pt idx="8">
                  <c:v>20855.416255411765</c:v>
                </c:pt>
                <c:pt idx="9">
                  <c:v>20855.416255411765</c:v>
                </c:pt>
                <c:pt idx="10">
                  <c:v>20855.416255411765</c:v>
                </c:pt>
                <c:pt idx="11">
                  <c:v>20855.416255411765</c:v>
                </c:pt>
                <c:pt idx="12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2-4030-BF00-52C200CFA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13864"/>
        <c:axId val="207316216"/>
      </c:areaChart>
      <c:catAx>
        <c:axId val="2073138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16216"/>
        <c:crosses val="autoZero"/>
        <c:auto val="1"/>
        <c:lblAlgn val="ctr"/>
        <c:lblOffset val="100"/>
        <c:noMultiLvlLbl val="0"/>
      </c:catAx>
      <c:valAx>
        <c:axId val="207316216"/>
        <c:scaling>
          <c:orientation val="minMax"/>
          <c:max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138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187690432663011E-2"/>
                <c:y val="0.398741986145174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600" b="1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Model B - Select 4K</a:t>
            </a:r>
            <a:r>
              <a:rPr lang="en-US" sz="2800" baseline="0"/>
              <a:t>   </a:t>
            </a:r>
            <a:r>
              <a:rPr lang="en-US" sz="2800"/>
              <a:t> Total Annual $137,927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1659648429868597"/>
          <c:w val="0.52468312594946254"/>
          <c:h val="0.576472237086869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F0-4682-86B4-D042F9FAF0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F0-4682-86B4-D042F9FAF0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F0-4682-86B4-D042F9FAF0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0-4682-86B4-D042F9FAF0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F0-4682-86B4-D042F9FAF0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F0-4682-86B4-D042F9FAF0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F0-4682-86B4-D042F9FAF01E}"/>
              </c:ext>
            </c:extLst>
          </c:dPt>
          <c:dLbls>
            <c:dLbl>
              <c:idx val="0"/>
              <c:layout>
                <c:manualLayout>
                  <c:x val="3.2886481973258497E-2"/>
                  <c:y val="-1.3036295220379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0-4682-86B4-D042F9FAF01E}"/>
                </c:ext>
              </c:extLst>
            </c:dLbl>
            <c:dLbl>
              <c:idx val="1"/>
              <c:layout>
                <c:manualLayout>
                  <c:x val="4.1387046335702886E-2"/>
                  <c:y val="-2.2387325977456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F0-4682-86B4-D042F9FAF01E}"/>
                </c:ext>
              </c:extLst>
            </c:dLbl>
            <c:dLbl>
              <c:idx val="3"/>
              <c:layout>
                <c:manualLayout>
                  <c:x val="-1.7887825233186057E-2"/>
                  <c:y val="1.4769831562316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F0-4682-86B4-D042F9FAF01E}"/>
                </c:ext>
              </c:extLst>
            </c:dLbl>
            <c:dLbl>
              <c:idx val="4"/>
              <c:layout>
                <c:manualLayout>
                  <c:x val="-2.9098633933644893E-2"/>
                  <c:y val="1.636374640063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AF0-4682-86B4-D042F9FAF01E}"/>
                </c:ext>
              </c:extLst>
            </c:dLbl>
            <c:dLbl>
              <c:idx val="5"/>
              <c:layout>
                <c:manualLayout>
                  <c:x val="-3.6736951051221704E-2"/>
                  <c:y val="-1.1203696625300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AF0-4682-86B4-D042F9FAF01E}"/>
                </c:ext>
              </c:extLst>
            </c:dLbl>
            <c:dLbl>
              <c:idx val="6"/>
              <c:layout>
                <c:manualLayout>
                  <c:x val="-3.1511911526523127E-2"/>
                  <c:y val="2.6446330131063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AF0-4682-86B4-D042F9FAF0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('DataStorageAll+4K+Archive'!$R$20,'DataStorageAll+4K+Archive'!$S$20,'DataStorageAll+4K+Archive'!$T$20,'DataStorageAll+4K+Archive'!$U$20,'DataStorageAll+4K+Archive'!$V$20,'DataStorageAll+4K+Archive'!$W$20,'DataStorageAll+4K+Archive'!$X$20)</c:f>
              <c:strCache>
                <c:ptCount val="7"/>
                <c:pt idx="0">
                  <c:v>New Video Storage Tape Cost (includes backup tape)</c:v>
                </c:pt>
                <c:pt idx="1">
                  <c:v>Annual Fixed and backup costs for first 15 PB</c:v>
                </c:pt>
                <c:pt idx="2">
                  <c:v>Annual Fixed and backup costs for &gt; 15 PB</c:v>
                </c:pt>
                <c:pt idx="3">
                  <c:v>Annual Cost of Transcoding from HQ to LT</c:v>
                </c:pt>
                <c:pt idx="4">
                  <c:v>Annual Previous 2 Main ROV Cameras Video Fixed Cost + Tape HD</c:v>
                </c:pt>
                <c:pt idx="5">
                  <c:v>Annual all other Video Data Projected Fixed Cost + Tape HD</c:v>
                </c:pt>
                <c:pt idx="6">
                  <c:v>Annual Converted Video Archive On-line and cold storage </c:v>
                </c:pt>
              </c:strCache>
            </c:strRef>
          </c:cat>
          <c:val>
            <c:numRef>
              <c:f>('DataStorageAll+4K+Archive'!$R$23,'DataStorageAll+4K+Archive'!$S$23,'DataStorageAll+4K+Archive'!$T$23,'DataStorageAll+4K+Archive'!$U$23,'DataStorageAll+4K+Archive'!$V$23,'DataStorageAll+4K+Archive'!$W$23,'DataStorageAll+4K+Archive'!$X$23)</c:f>
              <c:numCache>
                <c:formatCode>"$"#,##0</c:formatCode>
                <c:ptCount val="7"/>
                <c:pt idx="0">
                  <c:v>29758.788000000004</c:v>
                </c:pt>
                <c:pt idx="1">
                  <c:v>56676.656470588248</c:v>
                </c:pt>
                <c:pt idx="2">
                  <c:v>8887.2820523817973</c:v>
                </c:pt>
                <c:pt idx="3">
                  <c:v>10771.200000000006</c:v>
                </c:pt>
                <c:pt idx="4">
                  <c:v>8406.1831764705894</c:v>
                </c:pt>
                <c:pt idx="5">
                  <c:v>3019.2391969279879</c:v>
                </c:pt>
                <c:pt idx="6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AF0-4682-86B4-D042F9FAF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Model C - Select 4K</a:t>
            </a:r>
            <a:r>
              <a:rPr lang="en-US" sz="2800" baseline="0"/>
              <a:t>   </a:t>
            </a:r>
            <a:r>
              <a:rPr lang="en-US" sz="2800"/>
              <a:t> Total Annual $116,186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1659648429868597"/>
          <c:w val="0.52468312594946254"/>
          <c:h val="0.576472237086869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C-45A6-9258-F64F747535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1C-45A6-9258-F64F747535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B1C-45A6-9258-F64F747535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C-45A6-9258-F64F747535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B1C-45A6-9258-F64F747535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B1C-45A6-9258-F64F747535B9}"/>
              </c:ext>
            </c:extLst>
          </c:dPt>
          <c:dLbls>
            <c:dLbl>
              <c:idx val="0"/>
              <c:layout>
                <c:manualLayout>
                  <c:x val="3.7016861294400058E-2"/>
                  <c:y val="9.7108613850453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1C-45A6-9258-F64F747535B9}"/>
                </c:ext>
              </c:extLst>
            </c:dLbl>
            <c:dLbl>
              <c:idx val="1"/>
              <c:layout>
                <c:manualLayout>
                  <c:x val="6.929143522008202E-2"/>
                  <c:y val="-1.0468958370494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1C-45A6-9258-F64F747535B9}"/>
                </c:ext>
              </c:extLst>
            </c:dLbl>
            <c:dLbl>
              <c:idx val="2"/>
              <c:layout>
                <c:manualLayout>
                  <c:x val="-1.0283282888607996E-2"/>
                  <c:y val="1.374364005470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1C-45A6-9258-F64F747535B9}"/>
                </c:ext>
              </c:extLst>
            </c:dLbl>
            <c:dLbl>
              <c:idx val="3"/>
              <c:layout>
                <c:manualLayout>
                  <c:x val="-1.9763460624123017E-2"/>
                  <c:y val="1.3302903277866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1C-45A6-9258-F64F747535B9}"/>
                </c:ext>
              </c:extLst>
            </c:dLbl>
            <c:dLbl>
              <c:idx val="4"/>
              <c:layout>
                <c:manualLayout>
                  <c:x val="-3.9527646028782497E-2"/>
                  <c:y val="3.5123036804865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1C-45A6-9258-F64F747535B9}"/>
                </c:ext>
              </c:extLst>
            </c:dLbl>
            <c:dLbl>
              <c:idx val="5"/>
              <c:layout>
                <c:manualLayout>
                  <c:x val="-3.7377125539719905E-2"/>
                  <c:y val="-1.4275794409193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1C-45A6-9258-F64F74753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('DataStorageAll+4K+Archive'!$R$20,'DataStorageAll+4K+Archive'!$S$20,'DataStorageAll+4K+Archive'!$T$20,'DataStorageAll+4K+Archive'!$V$20,'DataStorageAll+4K+Archive'!$W$20,'DataStorageAll+4K+Archive'!$X$20)</c:f>
              <c:strCache>
                <c:ptCount val="6"/>
                <c:pt idx="0">
                  <c:v>New Video Storage Tape Cost (includes backup tape)</c:v>
                </c:pt>
                <c:pt idx="1">
                  <c:v>Annual Fixed and backup costs for first 15 PB</c:v>
                </c:pt>
                <c:pt idx="2">
                  <c:v>Annual Fixed and backup costs for &gt; 15 PB</c:v>
                </c:pt>
                <c:pt idx="3">
                  <c:v>Annual Previous 2 Main ROV Cameras Video Fixed Cost + Tape HD</c:v>
                </c:pt>
                <c:pt idx="4">
                  <c:v>Annual all other Video Data Projected Fixed Cost + Tape HD</c:v>
                </c:pt>
                <c:pt idx="5">
                  <c:v>Annual Converted Video Archive On-line and cold storage </c:v>
                </c:pt>
              </c:strCache>
            </c:strRef>
          </c:cat>
          <c:val>
            <c:numRef>
              <c:f>('DataStorageAll+4K+Archive'!$R$24,'DataStorageAll+4K+Archive'!$S$24,'DataStorageAll+4K+Archive'!$T$24,'DataStorageAll+4K+Archive'!$V$24,'DataStorageAll+4K+Archive'!$W$24,'DataStorageAll+4K+Archive'!$X$24)</c:f>
              <c:numCache>
                <c:formatCode>"$"#,##0</c:formatCode>
                <c:ptCount val="6"/>
                <c:pt idx="0">
                  <c:v>22564.703999999991</c:v>
                </c:pt>
                <c:pt idx="1">
                  <c:v>54960.536470588246</c:v>
                </c:pt>
                <c:pt idx="2">
                  <c:v>6827.9380523817981</c:v>
                </c:pt>
                <c:pt idx="3">
                  <c:v>8406.1831764705894</c:v>
                </c:pt>
                <c:pt idx="4">
                  <c:v>3019.2391969279879</c:v>
                </c:pt>
                <c:pt idx="5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1C-45A6-9258-F64F74753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Model D - Select 4K</a:t>
            </a:r>
            <a:r>
              <a:rPr lang="en-US" sz="2800" baseline="0"/>
              <a:t>   </a:t>
            </a:r>
            <a:r>
              <a:rPr lang="en-US" sz="2800"/>
              <a:t> Total Annual $90,356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1659648429868597"/>
          <c:w val="0.52468312594946254"/>
          <c:h val="0.576472237086869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F5-4FD7-97EB-FCC7A7154B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F5-4FD7-97EB-FCC7A7154B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F5-4FD7-97EB-FCC7A7154B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F5-4FD7-97EB-FCC7A7154B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F5-4FD7-97EB-FCC7A7154B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DF5-4FD7-97EB-FCC7A7154BAD}"/>
              </c:ext>
            </c:extLst>
          </c:dPt>
          <c:dLbls>
            <c:dLbl>
              <c:idx val="0"/>
              <c:layout>
                <c:manualLayout>
                  <c:x val="2.9236004004653968E-2"/>
                  <c:y val="-1.5657569502841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DF5-4FD7-97EB-FCC7A7154BAD}"/>
                </c:ext>
              </c:extLst>
            </c:dLbl>
            <c:dLbl>
              <c:idx val="1"/>
              <c:layout>
                <c:manualLayout>
                  <c:x val="2.3654034225103395E-2"/>
                  <c:y val="-1.6103084201853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DF5-4FD7-97EB-FCC7A7154BAD}"/>
                </c:ext>
              </c:extLst>
            </c:dLbl>
            <c:dLbl>
              <c:idx val="2"/>
              <c:layout>
                <c:manualLayout>
                  <c:x val="-4.659324156645368E-3"/>
                  <c:y val="-7.53987972377239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DF5-4FD7-97EB-FCC7A7154BAD}"/>
                </c:ext>
              </c:extLst>
            </c:dLbl>
            <c:dLbl>
              <c:idx val="3"/>
              <c:layout>
                <c:manualLayout>
                  <c:x val="-3.3035980038577653E-3"/>
                  <c:y val="4.60145758479219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DF5-4FD7-97EB-FCC7A7154BAD}"/>
                </c:ext>
              </c:extLst>
            </c:dLbl>
            <c:dLbl>
              <c:idx val="5"/>
              <c:layout>
                <c:manualLayout>
                  <c:x val="-1.7979437492993789E-2"/>
                  <c:y val="-8.1811830560014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DF5-4FD7-97EB-FCC7A7154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('DataStorageAll+4K+Archive'!$R$20,'DataStorageAll+4K+Archive'!$S$20,'DataStorageAll+4K+Archive'!$T$20,'DataStorageAll+4K+Archive'!$V$20,'DataStorageAll+4K+Archive'!$W$20,'DataStorageAll+4K+Archive'!$X$20)</c:f>
              <c:strCache>
                <c:ptCount val="6"/>
                <c:pt idx="0">
                  <c:v>New Video Storage Tape Cost (includes backup tape)</c:v>
                </c:pt>
                <c:pt idx="1">
                  <c:v>Annual Fixed and backup costs for first 15 PB</c:v>
                </c:pt>
                <c:pt idx="2">
                  <c:v>Annual Fixed and backup costs for &gt; 15 PB</c:v>
                </c:pt>
                <c:pt idx="3">
                  <c:v>Annual Previous 2 Main ROV Cameras Video Fixed Cost + Tape HD</c:v>
                </c:pt>
                <c:pt idx="4">
                  <c:v>Annual all other Video Data Projected Fixed Cost + Tape HD</c:v>
                </c:pt>
                <c:pt idx="5">
                  <c:v>Annual Converted Video Archive On-line and cold storage </c:v>
                </c:pt>
              </c:strCache>
            </c:strRef>
          </c:cat>
          <c:val>
            <c:numRef>
              <c:f>('DataStorageAll+4K+Archive'!$R$25,'DataStorageAll+4K+Archive'!$S$25,'DataStorageAll+4K+Archive'!$T$25,'DataStorageAll+4K+Archive'!$V$25,'DataStorageAll+4K+Archive'!$W$25,'DataStorageAll+4K+Archive'!$X$25)</c:f>
              <c:numCache>
                <c:formatCode>"$"#,##0</c:formatCode>
                <c:ptCount val="6"/>
                <c:pt idx="0">
                  <c:v>23515.464000000007</c:v>
                </c:pt>
                <c:pt idx="1">
                  <c:v>27752.421176470583</c:v>
                </c:pt>
                <c:pt idx="2">
                  <c:v>6896.084602046928</c:v>
                </c:pt>
                <c:pt idx="3">
                  <c:v>8406.1831764705894</c:v>
                </c:pt>
                <c:pt idx="4">
                  <c:v>3019.2391969279879</c:v>
                </c:pt>
                <c:pt idx="5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DF5-4FD7-97EB-FCC7A7154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Model D - Select 4K</a:t>
            </a:r>
            <a:r>
              <a:rPr lang="en-US" sz="2800" baseline="0"/>
              <a:t>   </a:t>
            </a:r>
            <a:r>
              <a:rPr lang="en-US" sz="2800"/>
              <a:t> Total Annual $90,356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3277771407214875"/>
          <c:w val="0.5099555854487261"/>
          <c:h val="0.5602910073134062"/>
        </c:manualLayout>
      </c:layout>
      <c:pieChart>
        <c:varyColors val="1"/>
        <c:ser>
          <c:idx val="0"/>
          <c:order val="0"/>
          <c:tx>
            <c:strRef>
              <c:f>'DataStorageAll+4K+Archive'!$P$30:$Q$30</c:f>
              <c:strCache>
                <c:ptCount val="2"/>
                <c:pt idx="0">
                  <c:v>Model D
Total Annual Cost of ALL Video Storage with 4K Selects + Mezzanine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4B-4435-BD9A-2D585AB363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4B-4435-BD9A-2D585AB363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4B-4435-BD9A-2D585AB363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4B-4435-BD9A-2D585AB363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4B-4435-BD9A-2D585AB363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F4B-4435-BD9A-2D585AB3633C}"/>
              </c:ext>
            </c:extLst>
          </c:dPt>
          <c:dLbls>
            <c:dLbl>
              <c:idx val="0"/>
              <c:layout>
                <c:manualLayout>
                  <c:x val="2.6026675789237685E-2"/>
                  <c:y val="-1.324461262730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4B-4435-BD9A-2D585AB3633C}"/>
                </c:ext>
              </c:extLst>
            </c:dLbl>
            <c:dLbl>
              <c:idx val="1"/>
              <c:layout>
                <c:manualLayout>
                  <c:x val="5.3645549460956558E-2"/>
                  <c:y val="3.94104256385427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4B-4435-BD9A-2D585AB3633C}"/>
                </c:ext>
              </c:extLst>
            </c:dLbl>
            <c:dLbl>
              <c:idx val="2"/>
              <c:layout>
                <c:manualLayout>
                  <c:x val="-5.4063071368656235E-2"/>
                  <c:y val="-3.4089625325960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F4B-4435-BD9A-2D585AB3633C}"/>
                </c:ext>
              </c:extLst>
            </c:dLbl>
            <c:dLbl>
              <c:idx val="3"/>
              <c:layout>
                <c:manualLayout>
                  <c:x val="-2.9659662387562392E-2"/>
                  <c:y val="-2.860159773717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F4B-4435-BD9A-2D585AB36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'DataStorageAll+4K+Archive'!$R$28:$W$28</c:f>
              <c:strCache>
                <c:ptCount val="6"/>
                <c:pt idx="0">
                  <c:v>New Video Storage Tape Cost (includes backup tape)</c:v>
                </c:pt>
                <c:pt idx="1">
                  <c:v>Annual on-line fixed costs for video library</c:v>
                </c:pt>
                <c:pt idx="2">
                  <c:v>Annual backup cold storage costs for video library</c:v>
                </c:pt>
                <c:pt idx="3">
                  <c:v>Annual on-line fixed costs for converted video archive </c:v>
                </c:pt>
                <c:pt idx="4">
                  <c:v>Annual backup cold storage costs for converted video archive </c:v>
                </c:pt>
                <c:pt idx="5">
                  <c:v>Annual all other Video Data Projected Fixed Cost + Tape HD</c:v>
                </c:pt>
              </c:strCache>
            </c:strRef>
          </c:cat>
          <c:val>
            <c:numRef>
              <c:f>'DataStorageAll+4K+Archive'!$R$30:$W$30</c:f>
              <c:numCache>
                <c:formatCode>"$"#,##0</c:formatCode>
                <c:ptCount val="6"/>
                <c:pt idx="0">
                  <c:v>23515.464000000007</c:v>
                </c:pt>
                <c:pt idx="1">
                  <c:v>32946.590954988096</c:v>
                </c:pt>
                <c:pt idx="2">
                  <c:v>10108.098000000002</c:v>
                </c:pt>
                <c:pt idx="3">
                  <c:v>19834.148329411764</c:v>
                </c:pt>
                <c:pt idx="4">
                  <c:v>1021.2679260000001</c:v>
                </c:pt>
                <c:pt idx="5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4B-4435-BD9A-2D585AB36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2030 Annual Cost Breakdown: </a:t>
            </a:r>
            <a:r>
              <a:rPr lang="en-US" sz="2800" b="0" i="0" u="none" strike="noStrike" baseline="0">
                <a:effectLst/>
              </a:rPr>
              <a:t>Model A - Keep all 4K </a:t>
            </a:r>
            <a:r>
              <a:rPr lang="en-US" sz="2800"/>
              <a:t>Total Annual $169,560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20384694181268"/>
          <c:y val="0.13277771407214875"/>
          <c:w val="0.5099555854487261"/>
          <c:h val="0.5602910073134062"/>
        </c:manualLayout>
      </c:layout>
      <c:pieChart>
        <c:varyColors val="1"/>
        <c:ser>
          <c:idx val="0"/>
          <c:order val="0"/>
          <c:tx>
            <c:strRef>
              <c:f>'DataStorageAll+4K+Archive'!$P$29:$Q$29</c:f>
              <c:strCache>
                <c:ptCount val="2"/>
                <c:pt idx="0">
                  <c:v>Model A
Total Annual Cost of ALL Video Storage with all 4K + Mezzanine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19-4E68-82EA-6E27B9D818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19-4E68-82EA-6E27B9D818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19-4E68-82EA-6E27B9D818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19-4E68-82EA-6E27B9D818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19-4E68-82EA-6E27B9D818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E19-4E68-82EA-6E27B9D81850}"/>
              </c:ext>
            </c:extLst>
          </c:dPt>
          <c:dLbls>
            <c:dLbl>
              <c:idx val="1"/>
              <c:layout>
                <c:manualLayout>
                  <c:x val="0.15709376534118794"/>
                  <c:y val="-4.4498381877022652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79499"/>
                        <a:gd name="adj2" fmla="val -11206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E19-4E68-82EA-6E27B9D81850}"/>
                </c:ext>
              </c:extLst>
            </c:dLbl>
            <c:dLbl>
              <c:idx val="4"/>
              <c:layout>
                <c:manualLayout>
                  <c:x val="-2.3318557474130211E-2"/>
                  <c:y val="5.3937963458451314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9.8511494052934093E-2"/>
                      <c:h val="3.86768553202694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E19-4E68-82EA-6E27B9D81850}"/>
                </c:ext>
              </c:extLst>
            </c:dLbl>
            <c:dLbl>
              <c:idx val="5"/>
              <c:layout>
                <c:manualLayout>
                  <c:x val="0.10063819342169858"/>
                  <c:y val="1.078748651564185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19-4E68-82EA-6E27B9D818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'DataStorageAll+4K+Archive'!$R$28:$W$28</c:f>
              <c:strCache>
                <c:ptCount val="6"/>
                <c:pt idx="0">
                  <c:v>New Video Storage Tape Cost (includes backup tape)</c:v>
                </c:pt>
                <c:pt idx="1">
                  <c:v>Annual on-line fixed costs for video library</c:v>
                </c:pt>
                <c:pt idx="2">
                  <c:v>Annual backup cold storage costs for video library</c:v>
                </c:pt>
                <c:pt idx="3">
                  <c:v>Annual on-line fixed costs for converted video archive </c:v>
                </c:pt>
                <c:pt idx="4">
                  <c:v>Annual backup cold storage costs for converted video archive </c:v>
                </c:pt>
                <c:pt idx="5">
                  <c:v>Annual all other Video Data Projected Fixed Cost + Tape HD</c:v>
                </c:pt>
              </c:strCache>
            </c:strRef>
          </c:cat>
          <c:val>
            <c:numRef>
              <c:f>'DataStorageAll+4K+Archive'!$R$29:$W$29</c:f>
              <c:numCache>
                <c:formatCode>"$"#,##0</c:formatCode>
                <c:ptCount val="6"/>
                <c:pt idx="0">
                  <c:v>36952.872000000018</c:v>
                </c:pt>
                <c:pt idx="1">
                  <c:v>99485.390364368126</c:v>
                </c:pt>
                <c:pt idx="2">
                  <c:v>10108.098000000002</c:v>
                </c:pt>
                <c:pt idx="3">
                  <c:v>19834.148329411764</c:v>
                </c:pt>
                <c:pt idx="4">
                  <c:v>1021.2679260000001</c:v>
                </c:pt>
                <c:pt idx="5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E19-4E68-82EA-6E27B9D8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054658116189082E-2"/>
          <c:y val="0.71478926177917079"/>
          <c:w val="0.81989068376762186"/>
          <c:h val="0.277120123334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2018 Titan Space w/ 4K Video</a:t>
            </a:r>
          </a:p>
        </c:rich>
      </c:tx>
      <c:layout>
        <c:manualLayout>
          <c:xMode val="edge"/>
          <c:yMode val="edge"/>
          <c:x val="0.31624224055326422"/>
          <c:y val="1.1031435293300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0A-40E6-9054-F8684FDF46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0A-40E6-9054-F8684FDF46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0A-40E6-9054-F8684FDF46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A-40E6-9054-F8684FDF46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D0A-40E6-9054-F8684FDF46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D0A-40E6-9054-F8684FDF4666}"/>
              </c:ext>
            </c:extLst>
          </c:dPt>
          <c:dPt>
            <c:idx val="6"/>
            <c:bubble3D val="0"/>
            <c:spPr>
              <a:noFill/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0A-40E6-9054-F8684FDF4666}"/>
              </c:ext>
            </c:extLst>
          </c:dPt>
          <c:dLbls>
            <c:dLbl>
              <c:idx val="0"/>
              <c:layout>
                <c:manualLayout>
                  <c:x val="-3.8558505206035737E-2"/>
                  <c:y val="-1.808668447694038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A-40E6-9054-F8684FDF4666}"/>
                </c:ext>
              </c:extLst>
            </c:dLbl>
            <c:dLbl>
              <c:idx val="1"/>
              <c:layout>
                <c:manualLayout>
                  <c:x val="-0.10162541318942961"/>
                  <c:y val="2.100147637795275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A-40E6-9054-F8684FDF4666}"/>
                </c:ext>
              </c:extLst>
            </c:dLbl>
            <c:dLbl>
              <c:idx val="2"/>
              <c:layout>
                <c:manualLayout>
                  <c:x val="1.2828512034614246E-2"/>
                  <c:y val="-1.080480174353205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A-40E6-9054-F8684FDF4666}"/>
                </c:ext>
              </c:extLst>
            </c:dLbl>
            <c:dLbl>
              <c:idx val="3"/>
              <c:layout>
                <c:manualLayout>
                  <c:x val="6.7324345393126636E-2"/>
                  <c:y val="-4.740227784026996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A-40E6-9054-F8684FDF4666}"/>
                </c:ext>
              </c:extLst>
            </c:dLbl>
            <c:dLbl>
              <c:idx val="4"/>
              <c:layout>
                <c:manualLayout>
                  <c:x val="0.11733220127990525"/>
                  <c:y val="7.865755061867266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A-40E6-9054-F8684FDF4666}"/>
                </c:ext>
              </c:extLst>
            </c:dLbl>
            <c:dLbl>
              <c:idx val="5"/>
              <c:layout>
                <c:manualLayout>
                  <c:x val="6.5983557024673387E-2"/>
                  <c:y val="-1.102397356580427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A-40E6-9054-F8684FDF4666}"/>
                </c:ext>
              </c:extLst>
            </c:dLbl>
            <c:dLbl>
              <c:idx val="6"/>
              <c:layout>
                <c:manualLayout>
                  <c:x val="-5.3973341350366508E-2"/>
                  <c:y val="1.363575646794150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A-40E6-9054-F8684FDF4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('DataStorageAll+4K+Archive'!$C$2,'DataStorageAll+4K+Archive'!$D$2,'DataStorageAll+4K+Archive'!$H$2,'DataStorageAll+4K+Archive'!$I$2,'DataStorageAll+4K+Archive'!$J$2,'DataStorageAll+4K+Archive'!$K$2,'DataStorageAll+4K+Archive'!$O$2)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A Cumulative VideoData Main ROV Cameras 4K HQ + Mezz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('DataStorageAll+4K+Archive'!$C$4,'DataStorageAll+4K+Archive'!$D$4,'DataStorageAll+4K+Archive'!$H$4,'DataStorageAll+4K+Archive'!$I$4,'DataStorageAll+4K+Archive'!$J$4,'DataStorageAll+4K+Archive'!$K$4,'DataStorageAll+4K+Archive'!$O$4)</c:f>
              <c:numCache>
                <c:formatCode>General</c:formatCode>
                <c:ptCount val="7"/>
                <c:pt idx="0">
                  <c:v>180</c:v>
                </c:pt>
                <c:pt idx="1">
                  <c:v>0</c:v>
                </c:pt>
                <c:pt idx="2">
                  <c:v>20</c:v>
                </c:pt>
                <c:pt idx="3">
                  <c:v>0</c:v>
                </c:pt>
                <c:pt idx="4">
                  <c:v>350</c:v>
                </c:pt>
                <c:pt idx="5" formatCode="0">
                  <c:v>3912</c:v>
                </c:pt>
                <c:pt idx="6" formatCode="0">
                  <c:v>10838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0A-40E6-9054-F8684FDF466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28799177880549E-2"/>
          <c:y val="0.69474591506986483"/>
          <c:w val="0.8413424016442389"/>
          <c:h val="0.28869779102756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2029 Titan Space w/4K Video,</a:t>
            </a:r>
            <a:r>
              <a:rPr lang="en-US" sz="1800" baseline="0"/>
              <a:t> Keep All </a:t>
            </a:r>
            <a:r>
              <a:rPr lang="en-US" sz="1800"/>
              <a:t>(with system expansion)</a:t>
            </a:r>
          </a:p>
        </c:rich>
      </c:tx>
      <c:layout>
        <c:manualLayout>
          <c:xMode val="edge"/>
          <c:yMode val="edge"/>
          <c:x val="0.14337079372645356"/>
          <c:y val="3.47123130407710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DE-47E7-A01E-0A6CC8872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DE-47E7-A01E-0A6CC8872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DE-47E7-A01E-0A6CC88728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DE-47E7-A01E-0A6CC88728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DE-47E7-A01E-0A6CC88728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DE-47E7-A01E-0A6CC88728FD}"/>
              </c:ext>
            </c:extLst>
          </c:dPt>
          <c:dPt>
            <c:idx val="6"/>
            <c:bubble3D val="0"/>
            <c:spPr>
              <a:solidFill>
                <a:schemeClr val="bg1"/>
              </a:solidFill>
              <a:ln w="6350" cmpd="sng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DE-47E7-A01E-0A6CC88728FD}"/>
              </c:ext>
            </c:extLst>
          </c:dPt>
          <c:dLbls>
            <c:dLbl>
              <c:idx val="1"/>
              <c:layout>
                <c:manualLayout>
                  <c:x val="2.2060077181854015E-2"/>
                  <c:y val="4.169882060492654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E-47E7-A01E-0A6CC88728FD}"/>
                </c:ext>
              </c:extLst>
            </c:dLbl>
            <c:dLbl>
              <c:idx val="3"/>
              <c:layout>
                <c:manualLayout>
                  <c:x val="-5.2475105338258797E-3"/>
                  <c:y val="1.552420593999904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E-47E7-A01E-0A6CC88728FD}"/>
                </c:ext>
              </c:extLst>
            </c:dLbl>
            <c:dLbl>
              <c:idx val="4"/>
              <c:layout>
                <c:manualLayout>
                  <c:x val="1.9794273387537852E-3"/>
                  <c:y val="8.310569483237838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E-47E7-A01E-0A6CC88728FD}"/>
                </c:ext>
              </c:extLst>
            </c:dLbl>
            <c:dLbl>
              <c:idx val="5"/>
              <c:layout>
                <c:manualLayout>
                  <c:x val="-3.0258281160722197E-2"/>
                  <c:y val="-7.0528098558365372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DE-47E7-A01E-0A6CC88728FD}"/>
                </c:ext>
              </c:extLst>
            </c:dLbl>
            <c:dLbl>
              <c:idx val="6"/>
              <c:layout>
                <c:manualLayout>
                  <c:x val="-8.8512981016261871E-2"/>
                  <c:y val="3.054602431622999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DE-47E7-A01E-0A6CC8872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('DataStorageAll+4K+Archive'!$C$2,'DataStorageAll+4K+Archive'!$D$2,'DataStorageAll+4K+Archive'!$H$2,'DataStorageAll+4K+Archive'!$I$2,'DataStorageAll+4K+Archive'!$J$2,'DataStorageAll+4K+Archive'!$K$2,'DataStorageAll+4K+Archive'!$O$2)</c:f>
              <c:strCache>
                <c:ptCount val="7"/>
                <c:pt idx="0">
                  <c:v>Cumulative VideoData Main ROV Cameras HD 60P + Mezz TB - switch to 4K</c:v>
                </c:pt>
                <c:pt idx="1">
                  <c:v>Model A Cumulative VideoData Main ROV Cameras 4K HQ + Mezz TB</c:v>
                </c:pt>
                <c:pt idx="2">
                  <c:v>Cumulative VideoData All other Sources TB</c:v>
                </c:pt>
                <c:pt idx="3">
                  <c:v>Video Archive Conversion to File Data TB</c:v>
                </c:pt>
                <c:pt idx="4">
                  <c:v>Cumulative All Non-Video Data TB</c:v>
                </c:pt>
                <c:pt idx="5">
                  <c:v>Netbackup Space 326 Slots at 12TB per slot TB</c:v>
                </c:pt>
                <c:pt idx="6">
                  <c:v>System Unused Space TB with 2023 expansion</c:v>
                </c:pt>
              </c:strCache>
            </c:strRef>
          </c:cat>
          <c:val>
            <c:numRef>
              <c:f>('DataStorageAll+4K+Archive'!$C$15,'DataStorageAll+4K+Archive'!$D$15,'DataStorageAll+4K+Archive'!$H$15,'DataStorageAll+4K+Archive'!$I$15,'DataStorageAll+4K+Archive'!$J$15,'DataStorageAll+4K+Archive'!$K$15,'DataStorageAll+4K+Archive'!$O$15)</c:f>
              <c:numCache>
                <c:formatCode>0</c:formatCode>
                <c:ptCount val="7"/>
                <c:pt idx="0">
                  <c:v>653.40000000000009</c:v>
                </c:pt>
                <c:pt idx="1">
                  <c:v>13992.000000000004</c:v>
                </c:pt>
                <c:pt idx="2">
                  <c:v>292.25</c:v>
                </c:pt>
                <c:pt idx="3">
                  <c:v>1621.0602000000001</c:v>
                </c:pt>
                <c:pt idx="4">
                  <c:v>1780</c:v>
                </c:pt>
                <c:pt idx="5">
                  <c:v>3912</c:v>
                </c:pt>
                <c:pt idx="6">
                  <c:v>14529.289799999995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DE-47E7-A01E-0A6CC88728F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28799177880549E-2"/>
          <c:y val="0.73903032312664252"/>
          <c:w val="0.8413424016442389"/>
          <c:h val="0.244413457588700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D5 vs. LTO-8 Costs per HD</a:t>
            </a:r>
            <a:r>
              <a:rPr lang="en-US" baseline="0"/>
              <a:t> hour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77537182852144"/>
          <c:y val="0.15782407407407409"/>
          <c:w val="0.84589129483814518"/>
          <c:h val="0.619174321959755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87-4971-AD13-7B5121D56336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87-4971-AD13-7B5121D56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(StorageCostCalculations!$I$2,StorageCostCalculations!$K$6)</c:f>
              <c:strCache>
                <c:ptCount val="2"/>
                <c:pt idx="0">
                  <c:v>Annual Fixed Cost + non-recurring tape and backup tape on and off-line per hour of HD + Mezzanine video</c:v>
                </c:pt>
                <c:pt idx="1">
                  <c:v>Panasonic D5 63 minute cassett, no backup</c:v>
                </c:pt>
              </c:strCache>
            </c:strRef>
          </c:cat>
          <c:val>
            <c:numRef>
              <c:f>(StorageCostCalculations!$I$7,StorageCostCalculations!$K$7)</c:f>
              <c:numCache>
                <c:formatCode>"$"#,##0.00</c:formatCode>
                <c:ptCount val="2"/>
                <c:pt idx="0">
                  <c:v>8.5541590588235294</c:v>
                </c:pt>
                <c:pt idx="1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7-4971-AD13-7B5121D5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019680"/>
        <c:axId val="204944568"/>
      </c:barChart>
      <c:catAx>
        <c:axId val="20801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944568"/>
        <c:crosses val="autoZero"/>
        <c:auto val="1"/>
        <c:lblAlgn val="ctr"/>
        <c:lblOffset val="100"/>
        <c:noMultiLvlLbl val="0"/>
      </c:catAx>
      <c:valAx>
        <c:axId val="20494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1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6"/>
          <c:order val="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E2-4DD8-B168-69375977862B}"/>
              </c:ext>
            </c:extLst>
          </c:dPt>
          <c:dLbls>
            <c:dLbl>
              <c:idx val="0"/>
              <c:layout>
                <c:manualLayout>
                  <c:x val="3.5279369261721663E-2"/>
                  <c:y val="-7.8125872563801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CE2-4DD8-B168-69375977862B}"/>
                </c:ext>
              </c:extLst>
            </c:dLbl>
            <c:dLbl>
              <c:idx val="1"/>
              <c:layout>
                <c:manualLayout>
                  <c:x val="5.5579929940664033E-2"/>
                  <c:y val="3.5477466912380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CE2-4DD8-B168-69375977862B}"/>
                </c:ext>
              </c:extLst>
            </c:dLbl>
            <c:dLbl>
              <c:idx val="2"/>
              <c:layout>
                <c:manualLayout>
                  <c:x val="-2.9371814904459899E-2"/>
                  <c:y val="-3.55319148936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CE2-4DD8-B168-693759778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E2-4DD8-B168-69375977862B}"/>
            </c:ext>
          </c:extLst>
        </c:ser>
        <c:ser>
          <c:idx val="7"/>
          <c:order val="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E2-4DD8-B168-69375977862B}"/>
            </c:ext>
          </c:extLst>
        </c:ser>
        <c:ser>
          <c:idx val="8"/>
          <c:order val="2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CE2-4DD8-B168-69375977862B}"/>
            </c:ext>
          </c:extLst>
        </c:ser>
        <c:ser>
          <c:idx val="9"/>
          <c:order val="3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CE2-4DD8-B168-69375977862B}"/>
            </c:ext>
          </c:extLst>
        </c:ser>
        <c:ser>
          <c:idx val="10"/>
          <c:order val="4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CE2-4DD8-B168-69375977862B}"/>
            </c:ext>
          </c:extLst>
        </c:ser>
        <c:ser>
          <c:idx val="11"/>
          <c:order val="5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CE2-4DD8-B168-69375977862B}"/>
            </c:ext>
          </c:extLst>
        </c:ser>
        <c:ser>
          <c:idx val="2"/>
          <c:order val="6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3CE2-4DD8-B168-69375977862B}"/>
            </c:ext>
          </c:extLst>
        </c:ser>
        <c:ser>
          <c:idx val="3"/>
          <c:order val="7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3CE2-4DD8-B168-69375977862B}"/>
            </c:ext>
          </c:extLst>
        </c:ser>
        <c:ser>
          <c:idx val="4"/>
          <c:order val="8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3CE2-4DD8-B168-69375977862B}"/>
            </c:ext>
          </c:extLst>
        </c:ser>
        <c:ser>
          <c:idx val="5"/>
          <c:order val="9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3CE2-4DD8-B168-69375977862B}"/>
            </c:ext>
          </c:extLst>
        </c:ser>
        <c:ser>
          <c:idx val="1"/>
          <c:order val="1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3CE2-4DD8-B168-69375977862B}"/>
              </c:ext>
            </c:extLst>
          </c:dPt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C-3CE2-4DD8-B168-69375977862B}"/>
            </c:ext>
          </c:extLst>
        </c:ser>
        <c:ser>
          <c:idx val="0"/>
          <c:order val="1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E-3CE2-4DD8-B168-6937597786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0-3CE2-4DD8-B168-6937597786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2-3CE2-4DD8-B168-69375977862B}"/>
              </c:ext>
            </c:extLst>
          </c:dPt>
          <c:dLbls>
            <c:dLbl>
              <c:idx val="0"/>
              <c:layout>
                <c:manualLayout>
                  <c:x val="4.617574365704287E-2"/>
                  <c:y val="-8.0313222436599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CE2-4DD8-B168-69375977862B}"/>
                </c:ext>
              </c:extLst>
            </c:dLbl>
            <c:dLbl>
              <c:idx val="1"/>
              <c:layout>
                <c:manualLayout>
                  <c:x val="6.4940944881889659E-2"/>
                  <c:y val="3.375542461165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CE2-4DD8-B168-69375977862B}"/>
                </c:ext>
              </c:extLst>
            </c:dLbl>
            <c:dLbl>
              <c:idx val="2"/>
              <c:layout>
                <c:manualLayout>
                  <c:x val="-5.9652449693788273E-2"/>
                  <c:y val="-8.35723349150885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CE2-4DD8-B168-693759778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(StorageCostCalculations!$G$2,StorageCostCalculations!$H$2,StorageCostCalculations!$E$25)</c:f>
              <c:strCache>
                <c:ptCount val="3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  <c:pt idx="2">
                  <c:v>Tape Cost Terabyte with Backup tape</c:v>
                </c:pt>
              </c:strCache>
            </c:strRef>
          </c:cat>
          <c:val>
            <c:numRef>
              <c:f>(StorageCostCalculations!$G$7,StorageCostCalculations!$H$7,StorageCostCalculations!$E$26)</c:f>
              <c:numCache>
                <c:formatCode>"$"#,##0.00</c:formatCode>
                <c:ptCount val="3"/>
                <c:pt idx="0">
                  <c:v>12.235294117647058</c:v>
                </c:pt>
                <c:pt idx="1">
                  <c:v>0.63</c:v>
                </c:pt>
                <c:pt idx="2">
                  <c:v>26.41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3CE2-4DD8-B168-693759778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Fixed and Tape Cost per Terabyte (Year 1 + n)</a:t>
            </a:r>
          </a:p>
        </c:rich>
      </c:tx>
      <c:layout>
        <c:manualLayout>
          <c:xMode val="edge"/>
          <c:yMode val="edge"/>
          <c:x val="8.3284558180227453E-2"/>
          <c:y val="3.679175864606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6"/>
          <c:order val="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DE-430E-8C1C-214AB5289DBA}"/>
              </c:ext>
            </c:extLst>
          </c:dPt>
          <c:dLbls>
            <c:dLbl>
              <c:idx val="0"/>
              <c:layout>
                <c:manualLayout>
                  <c:x val="-0.32555067244501412"/>
                  <c:y val="-0.57747309109297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E-430E-8C1C-214AB5289DBA}"/>
                </c:ext>
              </c:extLst>
            </c:dLbl>
            <c:dLbl>
              <c:idx val="1"/>
              <c:layout>
                <c:manualLayout>
                  <c:x val="2.1571547742578689E-2"/>
                  <c:y val="7.25035517349322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E-430E-8C1C-214AB5289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4FDE-430E-8C1C-214AB5289DBA}"/>
            </c:ext>
          </c:extLst>
        </c:ser>
        <c:ser>
          <c:idx val="7"/>
          <c:order val="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9-4FDE-430E-8C1C-214AB5289DBA}"/>
            </c:ext>
          </c:extLst>
        </c:ser>
        <c:ser>
          <c:idx val="8"/>
          <c:order val="2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E-4FDE-430E-8C1C-214AB5289DBA}"/>
            </c:ext>
          </c:extLst>
        </c:ser>
        <c:ser>
          <c:idx val="9"/>
          <c:order val="3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4FDE-430E-8C1C-214AB5289DBA}"/>
            </c:ext>
          </c:extLst>
        </c:ser>
        <c:ser>
          <c:idx val="10"/>
          <c:order val="4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4FDE-430E-8C1C-214AB5289DBA}"/>
            </c:ext>
          </c:extLst>
        </c:ser>
        <c:ser>
          <c:idx val="11"/>
          <c:order val="5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D-4FDE-430E-8C1C-214AB5289DBA}"/>
            </c:ext>
          </c:extLst>
        </c:ser>
        <c:ser>
          <c:idx val="2"/>
          <c:order val="6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2-4FDE-430E-8C1C-214AB5289DBA}"/>
            </c:ext>
          </c:extLst>
        </c:ser>
        <c:ser>
          <c:idx val="3"/>
          <c:order val="7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7-4FDE-430E-8C1C-214AB5289DBA}"/>
            </c:ext>
          </c:extLst>
        </c:ser>
        <c:ser>
          <c:idx val="4"/>
          <c:order val="8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C-4FDE-430E-8C1C-214AB5289DBA}"/>
            </c:ext>
          </c:extLst>
        </c:ser>
        <c:ser>
          <c:idx val="5"/>
          <c:order val="9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1-4FDE-430E-8C1C-214AB5289DBA}"/>
            </c:ext>
          </c:extLst>
        </c:ser>
        <c:ser>
          <c:idx val="1"/>
          <c:order val="1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4FDE-430E-8C1C-214AB5289DB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6-4FDE-430E-8C1C-214AB5289DBA}"/>
            </c:ext>
          </c:extLst>
        </c:ser>
        <c:ser>
          <c:idx val="0"/>
          <c:order val="1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4FDE-430E-8C1C-214AB5289D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A-4FDE-430E-8C1C-214AB5289DBA}"/>
              </c:ext>
            </c:extLst>
          </c:dPt>
          <c:dLbls>
            <c:dLbl>
              <c:idx val="0"/>
              <c:layout>
                <c:manualLayout>
                  <c:x val="4.617574365704287E-2"/>
                  <c:y val="-8.0313222436599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FDE-430E-8C1C-214AB5289DBA}"/>
                </c:ext>
              </c:extLst>
            </c:dLbl>
            <c:dLbl>
              <c:idx val="1"/>
              <c:layout>
                <c:manualLayout>
                  <c:x val="6.4940944881889659E-2"/>
                  <c:y val="3.375542461165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FDE-430E-8C1C-214AB5289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  <c15:dLbl>
                    <c:idx val="1"/>
                    <c:layout>
                      <c:manualLayout>
                        <c:x val="-5.9652449693788273E-2"/>
                        <c:y val="-8.357233491508858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7-5E89-4AE9-9997-A6A914D17E8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B-4FDE-430E-8C1C-214AB528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MBARI/IBM Elastic</a:t>
            </a:r>
            <a:r>
              <a:rPr lang="en-US" baseline="0"/>
              <a:t> Storage "</a:t>
            </a:r>
            <a:r>
              <a:rPr lang="en-US"/>
              <a:t>Titan" and Projected Data Storage Model A Keep all 4K - 10 years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98158881166248E-2"/>
          <c:y val="8.7229539040451554E-2"/>
          <c:w val="0.8896036822376675"/>
          <c:h val="0.66517248020385034"/>
        </c:manualLayout>
      </c:layout>
      <c:areaChart>
        <c:grouping val="stacked"/>
        <c:varyColors val="0"/>
        <c:ser>
          <c:idx val="0"/>
          <c:order val="0"/>
          <c:tx>
            <c:strRef>
              <c:f>'DataStorageAll+4K+Archive'!$C$2</c:f>
              <c:strCache>
                <c:ptCount val="1"/>
                <c:pt idx="0">
                  <c:v>Cumulative VideoData Main ROV Cameras HD 60P + Mezz TB -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'DataStorageAll+4K+Archive'!$C$4:$C$16</c:f>
              <c:numCache>
                <c:formatCode>0</c:formatCode>
                <c:ptCount val="13"/>
                <c:pt idx="0" formatCode="General">
                  <c:v>180</c:v>
                </c:pt>
                <c:pt idx="1">
                  <c:v>326.70000000000005</c:v>
                </c:pt>
                <c:pt idx="2">
                  <c:v>653.40000000000009</c:v>
                </c:pt>
                <c:pt idx="3">
                  <c:v>653.40000000000009</c:v>
                </c:pt>
                <c:pt idx="4">
                  <c:v>653.40000000000009</c:v>
                </c:pt>
                <c:pt idx="5">
                  <c:v>653.40000000000009</c:v>
                </c:pt>
                <c:pt idx="6">
                  <c:v>653.40000000000009</c:v>
                </c:pt>
                <c:pt idx="7">
                  <c:v>653.40000000000009</c:v>
                </c:pt>
                <c:pt idx="8">
                  <c:v>653.40000000000009</c:v>
                </c:pt>
                <c:pt idx="9">
                  <c:v>653.40000000000009</c:v>
                </c:pt>
                <c:pt idx="10">
                  <c:v>653.40000000000009</c:v>
                </c:pt>
                <c:pt idx="11">
                  <c:v>653.40000000000009</c:v>
                </c:pt>
                <c:pt idx="12">
                  <c:v>653.40000000000009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5-452F-A1E2-D7CED32BC2A1}"/>
            </c:ext>
          </c:extLst>
        </c:ser>
        <c:ser>
          <c:idx val="1"/>
          <c:order val="1"/>
          <c:tx>
            <c:strRef>
              <c:f>'DataStorageAll+4K+Archive'!$D$2</c:f>
              <c:strCache>
                <c:ptCount val="1"/>
                <c:pt idx="0">
                  <c:v>Model A Cumulative VideoData Main ROV Cameras 4K HQ + Mezz TB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'DataStorageAll+4K+Archive'!$D$4:$D$16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0</c:v>
                </c:pt>
                <c:pt idx="2">
                  <c:v>1399.2</c:v>
                </c:pt>
                <c:pt idx="3">
                  <c:v>2798.4</c:v>
                </c:pt>
                <c:pt idx="4">
                  <c:v>4197.6000000000004</c:v>
                </c:pt>
                <c:pt idx="5">
                  <c:v>5596.8</c:v>
                </c:pt>
                <c:pt idx="6">
                  <c:v>6996</c:v>
                </c:pt>
                <c:pt idx="7">
                  <c:v>8395.2000000000007</c:v>
                </c:pt>
                <c:pt idx="8">
                  <c:v>9794.4000000000015</c:v>
                </c:pt>
                <c:pt idx="9">
                  <c:v>11193.600000000002</c:v>
                </c:pt>
                <c:pt idx="10">
                  <c:v>12592.800000000003</c:v>
                </c:pt>
                <c:pt idx="11">
                  <c:v>13992.000000000004</c:v>
                </c:pt>
                <c:pt idx="12">
                  <c:v>15391.200000000004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5-452F-A1E2-D7CED32BC2A1}"/>
            </c:ext>
          </c:extLst>
        </c:ser>
        <c:ser>
          <c:idx val="2"/>
          <c:order val="2"/>
          <c:tx>
            <c:strRef>
              <c:f>'DataStorageAll+4K+Archive'!$H$2</c:f>
              <c:strCache>
                <c:ptCount val="1"/>
                <c:pt idx="0">
                  <c:v>Cumulative VideoData All other Sources TB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'DataStorageAll+4K+Archive'!$H$4:$H$16</c:f>
              <c:numCache>
                <c:formatCode>0</c:formatCode>
                <c:ptCount val="13"/>
                <c:pt idx="0" formatCode="General">
                  <c:v>20</c:v>
                </c:pt>
                <c:pt idx="1">
                  <c:v>44.75</c:v>
                </c:pt>
                <c:pt idx="2">
                  <c:v>69.5</c:v>
                </c:pt>
                <c:pt idx="3">
                  <c:v>94.25</c:v>
                </c:pt>
                <c:pt idx="4">
                  <c:v>119</c:v>
                </c:pt>
                <c:pt idx="5">
                  <c:v>143.75</c:v>
                </c:pt>
                <c:pt idx="6">
                  <c:v>168.5</c:v>
                </c:pt>
                <c:pt idx="7">
                  <c:v>193.25</c:v>
                </c:pt>
                <c:pt idx="8">
                  <c:v>218</c:v>
                </c:pt>
                <c:pt idx="9">
                  <c:v>242.75</c:v>
                </c:pt>
                <c:pt idx="10">
                  <c:v>267.5</c:v>
                </c:pt>
                <c:pt idx="11">
                  <c:v>292.25</c:v>
                </c:pt>
                <c:pt idx="1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5-452F-A1E2-D7CED32BC2A1}"/>
            </c:ext>
          </c:extLst>
        </c:ser>
        <c:ser>
          <c:idx val="3"/>
          <c:order val="3"/>
          <c:tx>
            <c:strRef>
              <c:f>'DataStorageAll+4K+Archive'!$J$2</c:f>
              <c:strCache>
                <c:ptCount val="1"/>
                <c:pt idx="0">
                  <c:v>Cumulative All Non-Video Data TB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'DataStorageAll+4K+Archive'!$J$4:$J$16</c:f>
              <c:numCache>
                <c:formatCode>0</c:formatCode>
                <c:ptCount val="13"/>
                <c:pt idx="0" formatCode="General">
                  <c:v>350</c:v>
                </c:pt>
                <c:pt idx="1">
                  <c:v>480</c:v>
                </c:pt>
                <c:pt idx="2">
                  <c:v>610</c:v>
                </c:pt>
                <c:pt idx="3">
                  <c:v>740</c:v>
                </c:pt>
                <c:pt idx="4">
                  <c:v>870</c:v>
                </c:pt>
                <c:pt idx="5">
                  <c:v>1000</c:v>
                </c:pt>
                <c:pt idx="6">
                  <c:v>1130</c:v>
                </c:pt>
                <c:pt idx="7">
                  <c:v>1260</c:v>
                </c:pt>
                <c:pt idx="8">
                  <c:v>1390</c:v>
                </c:pt>
                <c:pt idx="9">
                  <c:v>1520</c:v>
                </c:pt>
                <c:pt idx="10">
                  <c:v>1650</c:v>
                </c:pt>
                <c:pt idx="11">
                  <c:v>1780</c:v>
                </c:pt>
                <c:pt idx="12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D5-452F-A1E2-D7CED32BC2A1}"/>
            </c:ext>
          </c:extLst>
        </c:ser>
        <c:ser>
          <c:idx val="4"/>
          <c:order val="4"/>
          <c:tx>
            <c:strRef>
              <c:f>'DataStorageAll+4K+Archive'!$K$2</c:f>
              <c:strCache>
                <c:ptCount val="1"/>
                <c:pt idx="0">
                  <c:v>Netbackup Space 326 Slots at 12TB per slot TB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'DataStorageAll+4K+Archive'!$K$4:$K$16</c:f>
              <c:numCache>
                <c:formatCode>0</c:formatCode>
                <c:ptCount val="13"/>
                <c:pt idx="0">
                  <c:v>3912</c:v>
                </c:pt>
                <c:pt idx="1">
                  <c:v>3912</c:v>
                </c:pt>
                <c:pt idx="2">
                  <c:v>3912</c:v>
                </c:pt>
                <c:pt idx="3">
                  <c:v>3912</c:v>
                </c:pt>
                <c:pt idx="4">
                  <c:v>3912</c:v>
                </c:pt>
                <c:pt idx="5">
                  <c:v>3912</c:v>
                </c:pt>
                <c:pt idx="6">
                  <c:v>3912</c:v>
                </c:pt>
                <c:pt idx="7">
                  <c:v>3912</c:v>
                </c:pt>
                <c:pt idx="8">
                  <c:v>3912</c:v>
                </c:pt>
                <c:pt idx="9">
                  <c:v>3912</c:v>
                </c:pt>
                <c:pt idx="10">
                  <c:v>3912</c:v>
                </c:pt>
                <c:pt idx="11">
                  <c:v>3912</c:v>
                </c:pt>
                <c:pt idx="12">
                  <c:v>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D5-452F-A1E2-D7CED32BC2A1}"/>
            </c:ext>
          </c:extLst>
        </c:ser>
        <c:ser>
          <c:idx val="5"/>
          <c:order val="6"/>
          <c:tx>
            <c:strRef>
              <c:f>'DataStorageAll+4K+Archive'!$I$2</c:f>
              <c:strCache>
                <c:ptCount val="1"/>
                <c:pt idx="0">
                  <c:v>Video Archive Conversion to File Data TB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'DataStorageAll+4K+Archive'!$I$4:$I$16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810.53010000000006</c:v>
                </c:pt>
                <c:pt idx="3" formatCode="0">
                  <c:v>1621.0602000000001</c:v>
                </c:pt>
                <c:pt idx="4" formatCode="0">
                  <c:v>1621.0602000000001</c:v>
                </c:pt>
                <c:pt idx="5" formatCode="0">
                  <c:v>1621.0602000000001</c:v>
                </c:pt>
                <c:pt idx="6" formatCode="0">
                  <c:v>1621.0602000000001</c:v>
                </c:pt>
                <c:pt idx="7" formatCode="0">
                  <c:v>1621.0602000000001</c:v>
                </c:pt>
                <c:pt idx="8" formatCode="0">
                  <c:v>1621.0602000000001</c:v>
                </c:pt>
                <c:pt idx="9" formatCode="0">
                  <c:v>1621.0602000000001</c:v>
                </c:pt>
                <c:pt idx="10" formatCode="0">
                  <c:v>1621.0602000000001</c:v>
                </c:pt>
                <c:pt idx="11" formatCode="0">
                  <c:v>1621.0602000000001</c:v>
                </c:pt>
                <c:pt idx="12" formatCode="0">
                  <c:v>1621.0602000000001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D5-452F-A1E2-D7CED32BC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20528"/>
        <c:axId val="207310728"/>
      </c:areaChart>
      <c:areaChart>
        <c:grouping val="stacked"/>
        <c:varyColors val="0"/>
        <c:ser>
          <c:idx val="6"/>
          <c:order val="5"/>
          <c:tx>
            <c:strRef>
              <c:f>'DataStorageAll+4K+Archive'!$M$2</c:f>
              <c:strCache>
                <c:ptCount val="1"/>
                <c:pt idx="0">
                  <c:v>System Total Capacity TB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cat>
            <c:numRef>
              <c:f>'DataStorageAll+4K+Archive'!$A$4:$A$15</c:f>
              <c:numCache>
                <c:formatCode>0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'DataStorageAll+4K+Archive'!$M$4:$M$16</c:f>
              <c:numCache>
                <c:formatCode>#,##0</c:formatCode>
                <c:ptCount val="13"/>
                <c:pt idx="0">
                  <c:v>15300</c:v>
                </c:pt>
                <c:pt idx="1">
                  <c:v>15300</c:v>
                </c:pt>
                <c:pt idx="2">
                  <c:v>15300</c:v>
                </c:pt>
                <c:pt idx="3">
                  <c:v>15300</c:v>
                </c:pt>
                <c:pt idx="4">
                  <c:v>15300</c:v>
                </c:pt>
                <c:pt idx="5">
                  <c:v>36780</c:v>
                </c:pt>
                <c:pt idx="6">
                  <c:v>36780</c:v>
                </c:pt>
                <c:pt idx="7">
                  <c:v>36780</c:v>
                </c:pt>
                <c:pt idx="8">
                  <c:v>36780</c:v>
                </c:pt>
                <c:pt idx="9">
                  <c:v>36780</c:v>
                </c:pt>
                <c:pt idx="10">
                  <c:v>36780</c:v>
                </c:pt>
                <c:pt idx="11">
                  <c:v>36780</c:v>
                </c:pt>
                <c:pt idx="12">
                  <c:v>36780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D5-452F-A1E2-D7CED32BC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7128"/>
        <c:axId val="207311904"/>
      </c:areaChart>
      <c:catAx>
        <c:axId val="2073205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10728"/>
        <c:crosses val="autoZero"/>
        <c:auto val="1"/>
        <c:lblAlgn val="ctr"/>
        <c:lblOffset val="100"/>
        <c:noMultiLvlLbl val="0"/>
      </c:catAx>
      <c:valAx>
        <c:axId val="207310728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32052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5234613040828763E-2"/>
                <c:y val="6.4042553191489368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7311904"/>
        <c:scaling>
          <c:orientation val="minMax"/>
          <c:max val="4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27128"/>
        <c:crosses val="max"/>
        <c:crossBetween val="midCat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0802712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07311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709762086190835E-3"/>
          <c:y val="0.82107151058140315"/>
          <c:w val="0.99412373673232191"/>
          <c:h val="0.16011381397174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Fixed and Tape Cost per Terabyte (Year 1 + n) after Titan</a:t>
            </a:r>
            <a:r>
              <a:rPr lang="en-US" baseline="0"/>
              <a:t> </a:t>
            </a:r>
            <a:r>
              <a:rPr lang="en-US"/>
              <a:t>expansion</a:t>
            </a:r>
          </a:p>
        </c:rich>
      </c:tx>
      <c:layout>
        <c:manualLayout>
          <c:xMode val="edge"/>
          <c:yMode val="edge"/>
          <c:x val="8.3284558180227453E-2"/>
          <c:y val="3.6791758646063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6"/>
          <c:order val="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F8F-480F-8483-C7A04E61714D}"/>
              </c:ext>
            </c:extLst>
          </c:dPt>
          <c:dLbls>
            <c:dLbl>
              <c:idx val="0"/>
              <c:layout>
                <c:manualLayout>
                  <c:x val="1.4938655923823476E-2"/>
                  <c:y val="-3.836359298062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F-480F-8483-C7A04E61714D}"/>
                </c:ext>
              </c:extLst>
            </c:dLbl>
            <c:dLbl>
              <c:idx val="1"/>
              <c:layout>
                <c:manualLayout>
                  <c:x val="-3.7550306211723533E-2"/>
                  <c:y val="-1.0452864363029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F-480F-8483-C7A04E617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(StorageCostCalculations!$G$14,StorageCostCalculations!$H$14,StorageCostCalculations!$E$26)</c15:sqref>
                  </c15:fullRef>
                </c:ext>
              </c:extLst>
              <c:f>(StorageCostCalculations!$G$14,StorageCostCalculations!$H$14)</c:f>
              <c:numCache>
                <c:formatCode>"$"#,##0.00</c:formatCode>
                <c:ptCount val="2"/>
                <c:pt idx="0">
                  <c:v>0.70191675491217898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0F8F-480F-8483-C7A04E61714D}"/>
            </c:ext>
          </c:extLst>
        </c:ser>
        <c:ser>
          <c:idx val="7"/>
          <c:order val="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9-0F8F-480F-8483-C7A04E61714D}"/>
            </c:ext>
          </c:extLst>
        </c:ser>
        <c:ser>
          <c:idx val="8"/>
          <c:order val="2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E-0F8F-480F-8483-C7A04E61714D}"/>
            </c:ext>
          </c:extLst>
        </c:ser>
        <c:ser>
          <c:idx val="9"/>
          <c:order val="3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0F8F-480F-8483-C7A04E61714D}"/>
            </c:ext>
          </c:extLst>
        </c:ser>
        <c:ser>
          <c:idx val="10"/>
          <c:order val="4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0F8F-480F-8483-C7A04E61714D}"/>
            </c:ext>
          </c:extLst>
        </c:ser>
        <c:ser>
          <c:idx val="11"/>
          <c:order val="5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D-0F8F-480F-8483-C7A04E61714D}"/>
            </c:ext>
          </c:extLst>
        </c:ser>
        <c:ser>
          <c:idx val="2"/>
          <c:order val="6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2-0F8F-480F-8483-C7A04E61714D}"/>
            </c:ext>
          </c:extLst>
        </c:ser>
        <c:ser>
          <c:idx val="3"/>
          <c:order val="7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7-0F8F-480F-8483-C7A04E61714D}"/>
            </c:ext>
          </c:extLst>
        </c:ser>
        <c:ser>
          <c:idx val="4"/>
          <c:order val="8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C-0F8F-480F-8483-C7A04E61714D}"/>
            </c:ext>
          </c:extLst>
        </c:ser>
        <c:ser>
          <c:idx val="5"/>
          <c:order val="9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1-0F8F-480F-8483-C7A04E61714D}"/>
            </c:ext>
          </c:extLst>
        </c:ser>
        <c:ser>
          <c:idx val="1"/>
          <c:order val="10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F8F-480F-8483-C7A04E61714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6-0F8F-480F-8483-C7A04E61714D}"/>
            </c:ext>
          </c:extLst>
        </c:ser>
        <c:ser>
          <c:idx val="0"/>
          <c:order val="11"/>
          <c:tx>
            <c:v>Annual Fixed and Tape Cost per Terabyte (Year 1)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0F8F-480F-8483-C7A04E617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A-0F8F-480F-8483-C7A04E61714D}"/>
              </c:ext>
            </c:extLst>
          </c:dPt>
          <c:dLbls>
            <c:dLbl>
              <c:idx val="0"/>
              <c:layout>
                <c:manualLayout>
                  <c:x val="-0.29195894117886428"/>
                  <c:y val="-0.55606630008025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F8F-480F-8483-C7A04E61714D}"/>
                </c:ext>
              </c:extLst>
            </c:dLbl>
            <c:dLbl>
              <c:idx val="1"/>
              <c:layout>
                <c:manualLayout>
                  <c:x val="6.4940944881889659E-2"/>
                  <c:y val="3.375542461165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F8F-480F-8483-C7A04E617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(StorageCostCalculations!$G$2,StorageCostCalculations!$H$2,StorageCostCalculations!$E$25)</c15:sqref>
                  </c15:fullRef>
                </c:ext>
              </c:extLst>
              <c:f>(StorageCostCalculations!$G$2,StorageCostCalculations!$H$2)</c:f>
              <c:strCache>
                <c:ptCount val="2"/>
                <c:pt idx="0">
                  <c:v>Annual Fixed Cost on and off-line per Terabyte Capacity</c:v>
                </c:pt>
                <c:pt idx="1">
                  <c:v>Annual Fixed Off-Site Backup cost per Terabyte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(StorageCostCalculations!$G$7,StorageCostCalculations!$H$7,StorageCostCalculations!$E$26)</c15:sqref>
                  </c15:fullRef>
                </c:ext>
              </c:extLst>
              <c:f>(StorageCostCalculations!$G$7,StorageCostCalculations!$H$7)</c:f>
              <c:numCache>
                <c:formatCode>"$"#,##0.00</c:formatCode>
                <c:ptCount val="2"/>
                <c:pt idx="0">
                  <c:v>12.235294117647058</c:v>
                </c:pt>
                <c:pt idx="1">
                  <c:v>0.63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StorageCostCalculations!$E$26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  <c15:dLbl>
                    <c:idx val="1"/>
                    <c:layout>
                      <c:manualLayout>
                        <c:x val="-5.9652449693788273E-2"/>
                        <c:y val="-8.357233491508858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7-ED37-45A7-BC42-778D3CE25816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B-0F8F-480F-8483-C7A04E617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Number of Archive Tapes by Format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77730565009297"/>
          <c:y val="0.14182740580246261"/>
          <c:w val="0.55463989635566657"/>
          <c:h val="0.72773221300357593"/>
        </c:manualLayout>
      </c:layout>
      <c:pieChart>
        <c:varyColors val="1"/>
        <c:ser>
          <c:idx val="0"/>
          <c:order val="0"/>
          <c:tx>
            <c:strRef>
              <c:f>ConvertingVideoArchive!$A$2</c:f>
              <c:strCache>
                <c:ptCount val="1"/>
                <c:pt idx="0">
                  <c:v>Hours of Tape from https://mww.mbari.org/itd/video/videostats.html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433-4888-B280-F15DD0CD28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433-4888-B280-F15DD0CD28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433-4888-B280-F15DD0CD28FA}"/>
              </c:ext>
            </c:extLst>
          </c:dPt>
          <c:dLbls>
            <c:dLbl>
              <c:idx val="0"/>
              <c:layout>
                <c:manualLayout>
                  <c:x val="4.4741996764470812E-2"/>
                  <c:y val="3.75178327934233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33-4888-B280-F15DD0CD28FA}"/>
                </c:ext>
              </c:extLst>
            </c:dLbl>
            <c:dLbl>
              <c:idx val="1"/>
              <c:layout>
                <c:manualLayout>
                  <c:x val="0.14783360519832719"/>
                  <c:y val="3.491165953249132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33-4888-B280-F15DD0CD28FA}"/>
                </c:ext>
              </c:extLst>
            </c:dLbl>
            <c:dLbl>
              <c:idx val="2"/>
              <c:layout>
                <c:manualLayout>
                  <c:x val="-4.9537829510441639E-2"/>
                  <c:y val="7.86209437784240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33-4888-B280-F15DD0CD2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ConvertingVideoArchive!$A$3:$A$5</c:f>
              <c:strCache>
                <c:ptCount val="3"/>
                <c:pt idx="0">
                  <c:v>BetacamSP</c:v>
                </c:pt>
                <c:pt idx="1">
                  <c:v>DigitalBetacam</c:v>
                </c:pt>
                <c:pt idx="2">
                  <c:v>Panasonic D5</c:v>
                </c:pt>
              </c:strCache>
            </c:strRef>
          </c:cat>
          <c:val>
            <c:numRef>
              <c:f>ConvertingVideoArchive!$B$3:$B$5</c:f>
              <c:numCache>
                <c:formatCode>General</c:formatCode>
                <c:ptCount val="3"/>
                <c:pt idx="0">
                  <c:v>8915</c:v>
                </c:pt>
                <c:pt idx="1">
                  <c:v>11462</c:v>
                </c:pt>
                <c:pt idx="2">
                  <c:v>8715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33-4888-B280-F15DD0CD2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Conversion Cost by Format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77730565009297"/>
          <c:y val="0.14182740580246261"/>
          <c:w val="0.55463989635566657"/>
          <c:h val="0.72773221300357593"/>
        </c:manualLayout>
      </c:layout>
      <c:pieChart>
        <c:varyColors val="1"/>
        <c:ser>
          <c:idx val="0"/>
          <c:order val="0"/>
          <c:tx>
            <c:strRef>
              <c:f>ConvertingVideoArchive!$E$2</c:f>
              <c:strCache>
                <c:ptCount val="1"/>
                <c:pt idx="0">
                  <c:v>Conversion cost (not including tape costs)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E-4426-94B0-6BBFDF4DE5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BE-4426-94B0-6BBFDF4DE5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BE-4426-94B0-6BBFDF4DE56C}"/>
              </c:ext>
            </c:extLst>
          </c:dPt>
          <c:dLbls>
            <c:dLbl>
              <c:idx val="0"/>
              <c:layout>
                <c:manualLayout>
                  <c:x val="4.7296990689463053E-2"/>
                  <c:y val="2.3183427574908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EBE-4426-94B0-6BBFDF4DE56C}"/>
                </c:ext>
              </c:extLst>
            </c:dLbl>
            <c:dLbl>
              <c:idx val="1"/>
              <c:layout>
                <c:manualLayout>
                  <c:x val="7.9887629135872079E-2"/>
                  <c:y val="-5.4362239954904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EBE-4426-94B0-6BBFDF4DE56C}"/>
                </c:ext>
              </c:extLst>
            </c:dLbl>
            <c:dLbl>
              <c:idx val="2"/>
              <c:layout>
                <c:manualLayout>
                  <c:x val="2.0304086030166955E-2"/>
                  <c:y val="-6.4587538973735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EBE-4426-94B0-6BBFDF4DE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ConvertingVideoArchive!$A$3:$A$5</c:f>
              <c:strCache>
                <c:ptCount val="3"/>
                <c:pt idx="0">
                  <c:v>BetacamSP</c:v>
                </c:pt>
                <c:pt idx="1">
                  <c:v>DigitalBetacam</c:v>
                </c:pt>
                <c:pt idx="2">
                  <c:v>Panasonic D5</c:v>
                </c:pt>
              </c:strCache>
            </c:strRef>
          </c:cat>
          <c:val>
            <c:numRef>
              <c:f>ConvertingVideoArchive!$F$3:$F$5</c:f>
              <c:numCache>
                <c:formatCode>"$"#,##0.00</c:formatCode>
                <c:ptCount val="3"/>
                <c:pt idx="0">
                  <c:v>158578.85213499999</c:v>
                </c:pt>
                <c:pt idx="1">
                  <c:v>396134.38755599997</c:v>
                </c:pt>
                <c:pt idx="2">
                  <c:v>327486.37115999998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BE-4426-94B0-6BBFDF4DE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Conversion Cost Breakdown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477730565009297"/>
          <c:y val="0.14182740580246261"/>
          <c:w val="0.55463989635566657"/>
          <c:h val="0.72773221300357593"/>
        </c:manualLayout>
      </c:layout>
      <c:pieChart>
        <c:varyColors val="1"/>
        <c:ser>
          <c:idx val="0"/>
          <c:order val="0"/>
          <c:tx>
            <c:strRef>
              <c:f>ConvertingVideoArchive!$E$2</c:f>
              <c:strCache>
                <c:ptCount val="1"/>
                <c:pt idx="0">
                  <c:v>Conversion cost (not including tape costs)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C-478D-936A-7809EDFDF2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9C-478D-936A-7809EDFDF2E9}"/>
              </c:ext>
            </c:extLst>
          </c:dPt>
          <c:dLbls>
            <c:dLbl>
              <c:idx val="0"/>
              <c:layout>
                <c:manualLayout>
                  <c:x val="0.23927475817440966"/>
                  <c:y val="-0.17123694269759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A9C-478D-936A-7809EDFDF2E9}"/>
                </c:ext>
              </c:extLst>
            </c:dLbl>
            <c:dLbl>
              <c:idx val="1"/>
              <c:layout>
                <c:manualLayout>
                  <c:x val="-8.1131025501607723E-2"/>
                  <c:y val="2.63559336962074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A9C-478D-936A-7809EDFDF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ConvertingVideoArchive!$A$3:$A$5</c:f>
              <c:strCache>
                <c:ptCount val="3"/>
                <c:pt idx="0">
                  <c:v>BetacamSP</c:v>
                </c:pt>
                <c:pt idx="1">
                  <c:v>DigitalBetacam</c:v>
                </c:pt>
                <c:pt idx="2">
                  <c:v>Panasonic D5</c:v>
                </c:pt>
              </c:strCache>
            </c:strRef>
          </c:cat>
          <c:val>
            <c:numRef>
              <c:f>ConvertingVideoArchive!$E$7:$E$8</c:f>
              <c:numCache>
                <c:formatCode>"$"#,##0</c:formatCode>
                <c:ptCount val="2"/>
                <c:pt idx="0" formatCode="&quot;$&quot;#,##0.00">
                  <c:v>842030.5</c:v>
                </c:pt>
                <c:pt idx="1">
                  <c:v>42812.199882000001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C-478D-936A-7809EDFD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Video</a:t>
            </a:r>
            <a:r>
              <a:rPr lang="en-US" baseline="0"/>
              <a:t> Only </a:t>
            </a:r>
            <a:r>
              <a:rPr lang="en-US"/>
              <a:t>Data Storage Costs with</a:t>
            </a:r>
            <a:r>
              <a:rPr lang="en-US" baseline="0"/>
              <a:t> 4K Cameras on ROV's Model A Keep All Data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'DataStorageAll+4K+Archive'!$Q$2</c:f>
              <c:strCache>
                <c:ptCount val="1"/>
                <c:pt idx="0">
                  <c:v>2 Main ROV Cameras Annual Video Fixed Cost + Tape HD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'DataStorageAll+4K+Archive'!$Q$4:$Q$16</c:f>
              <c:numCache>
                <c:formatCode>"$"#,##0</c:formatCode>
                <c:ptCount val="13"/>
                <c:pt idx="0">
                  <c:v>7069.552941176471</c:v>
                </c:pt>
                <c:pt idx="1">
                  <c:v>8077.4385882352963</c:v>
                </c:pt>
                <c:pt idx="2">
                  <c:v>17034.33017647059</c:v>
                </c:pt>
                <c:pt idx="3">
                  <c:v>8406.1831764705894</c:v>
                </c:pt>
                <c:pt idx="4">
                  <c:v>8406.1831764705894</c:v>
                </c:pt>
                <c:pt idx="5">
                  <c:v>8406.1831764705894</c:v>
                </c:pt>
                <c:pt idx="6">
                  <c:v>8406.1831764705894</c:v>
                </c:pt>
                <c:pt idx="7">
                  <c:v>8406.1831764705894</c:v>
                </c:pt>
                <c:pt idx="8">
                  <c:v>8406.1831764705894</c:v>
                </c:pt>
                <c:pt idx="9">
                  <c:v>8406.1831764705894</c:v>
                </c:pt>
                <c:pt idx="10">
                  <c:v>8406.1831764705894</c:v>
                </c:pt>
                <c:pt idx="11">
                  <c:v>8406.1831764705894</c:v>
                </c:pt>
                <c:pt idx="12">
                  <c:v>8406.1831764705894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3-4B6A-90AB-F34F99530308}"/>
            </c:ext>
          </c:extLst>
        </c:ser>
        <c:ser>
          <c:idx val="1"/>
          <c:order val="1"/>
          <c:tx>
            <c:strRef>
              <c:f>'DataStorageAll+4K+Archive'!$R$2</c:f>
              <c:strCache>
                <c:ptCount val="1"/>
                <c:pt idx="0">
                  <c:v>Model A 2 Main ROV Cameras Annual Video Fixed Cost + Tape 4K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'DataStorageAll+4K+Archive'!$R$4:$R$16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54953.991529411767</c:v>
                </c:pt>
                <c:pt idx="3">
                  <c:v>72955.111058823531</c:v>
                </c:pt>
                <c:pt idx="4">
                  <c:v>90956.23058823531</c:v>
                </c:pt>
                <c:pt idx="5">
                  <c:v>108957.35011764706</c:v>
                </c:pt>
                <c:pt idx="6">
                  <c:v>126958.46964705881</c:v>
                </c:pt>
                <c:pt idx="7">
                  <c:v>128822.08757053196</c:v>
                </c:pt>
                <c:pt idx="8">
                  <c:v>130685.70549400509</c:v>
                </c:pt>
                <c:pt idx="9">
                  <c:v>132549.32341747821</c:v>
                </c:pt>
                <c:pt idx="10">
                  <c:v>134412.94134095134</c:v>
                </c:pt>
                <c:pt idx="11">
                  <c:v>136276.55926442446</c:v>
                </c:pt>
                <c:pt idx="12">
                  <c:v>138140.17718789756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3-4B6A-90AB-F34F99530308}"/>
            </c:ext>
          </c:extLst>
        </c:ser>
        <c:ser>
          <c:idx val="2"/>
          <c:order val="2"/>
          <c:tx>
            <c:strRef>
              <c:f>'DataStorageAll+4K+Archive'!$V$2</c:f>
              <c:strCache>
                <c:ptCount val="1"/>
                <c:pt idx="0">
                  <c:v>All other Video Data Projected Annual Fixed Cost + Tape HD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'DataStorageAll+4K+Archive'!$V$4:$V$16</c:f>
              <c:numCache>
                <c:formatCode>"$"#,##0</c:formatCode>
                <c:ptCount val="13"/>
                <c:pt idx="0">
                  <c:v>785.50588235294117</c:v>
                </c:pt>
                <c:pt idx="1">
                  <c:v>1229.369411764706</c:v>
                </c:pt>
                <c:pt idx="2">
                  <c:v>1547.7854411764706</c:v>
                </c:pt>
                <c:pt idx="3">
                  <c:v>1866.2014705882352</c:v>
                </c:pt>
                <c:pt idx="4">
                  <c:v>2184.6175000000003</c:v>
                </c:pt>
                <c:pt idx="5">
                  <c:v>2503.0335294117649</c:v>
                </c:pt>
                <c:pt idx="6">
                  <c:v>2821.4495588235295</c:v>
                </c:pt>
                <c:pt idx="7">
                  <c:v>2854.4144985076059</c:v>
                </c:pt>
                <c:pt idx="8">
                  <c:v>2887.3794381916823</c:v>
                </c:pt>
                <c:pt idx="9">
                  <c:v>2920.3443778757587</c:v>
                </c:pt>
                <c:pt idx="10">
                  <c:v>2953.3093175598351</c:v>
                </c:pt>
                <c:pt idx="11">
                  <c:v>2986.2742572439115</c:v>
                </c:pt>
                <c:pt idx="12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3-4B6A-90AB-F34F99530308}"/>
            </c:ext>
          </c:extLst>
        </c:ser>
        <c:ser>
          <c:idx val="3"/>
          <c:order val="3"/>
          <c:tx>
            <c:strRef>
              <c:f>'DataStorageAll+4K+Archive'!$W$2</c:f>
              <c:strCache>
                <c:ptCount val="1"/>
                <c:pt idx="0">
                  <c:v>Video Archive Conversion to File Data annual storage 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'DataStorageAll+4K+Archive'!$W$4:$W$16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31833.808068705883</c:v>
                </c:pt>
                <c:pt idx="3">
                  <c:v>42261.516196411765</c:v>
                </c:pt>
                <c:pt idx="4">
                  <c:v>20855.416255411765</c:v>
                </c:pt>
                <c:pt idx="5">
                  <c:v>20855.416255411765</c:v>
                </c:pt>
                <c:pt idx="6">
                  <c:v>20855.416255411765</c:v>
                </c:pt>
                <c:pt idx="7">
                  <c:v>20855.416255411765</c:v>
                </c:pt>
                <c:pt idx="8">
                  <c:v>20855.416255411765</c:v>
                </c:pt>
                <c:pt idx="9">
                  <c:v>20855.416255411765</c:v>
                </c:pt>
                <c:pt idx="10">
                  <c:v>20855.416255411765</c:v>
                </c:pt>
                <c:pt idx="11">
                  <c:v>20855.416255411765</c:v>
                </c:pt>
                <c:pt idx="12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3-4B6A-90AB-F34F9953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8696"/>
        <c:axId val="208016936"/>
      </c:areaChart>
      <c:catAx>
        <c:axId val="2080286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16936"/>
        <c:crosses val="autoZero"/>
        <c:auto val="1"/>
        <c:lblAlgn val="ctr"/>
        <c:lblOffset val="100"/>
        <c:noMultiLvlLbl val="0"/>
      </c:catAx>
      <c:valAx>
        <c:axId val="208016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286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187690432663011E-2"/>
                <c:y val="0.398741986145174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600" b="1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581562736575929E-2"/>
          <c:y val="0.88557757015730953"/>
          <c:w val="0.93967923665471542"/>
          <c:h val="0.101407245460911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MBARI/IBM Elastic</a:t>
            </a:r>
            <a:r>
              <a:rPr lang="en-US" baseline="0"/>
              <a:t> Storage "</a:t>
            </a:r>
            <a:r>
              <a:rPr lang="en-US"/>
              <a:t>Titan" and Projected Data Storage Model </a:t>
            </a:r>
            <a:r>
              <a:rPr lang="en-US" baseline="0"/>
              <a:t>C </a:t>
            </a:r>
            <a:r>
              <a:rPr lang="en-US"/>
              <a:t>Select 4K- 10 years</a:t>
            </a:r>
            <a:r>
              <a:rPr lang="en-US" baseline="0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71816698588354E-2"/>
          <c:y val="8.7229539040451554E-2"/>
          <c:w val="0.89825636660282326"/>
          <c:h val="0.67222798349641855"/>
        </c:manualLayout>
      </c:layout>
      <c:areaChart>
        <c:grouping val="stacked"/>
        <c:varyColors val="0"/>
        <c:ser>
          <c:idx val="0"/>
          <c:order val="0"/>
          <c:tx>
            <c:strRef>
              <c:f>'DataStorageAll+4K+Archive'!$C$2</c:f>
              <c:strCache>
                <c:ptCount val="1"/>
                <c:pt idx="0">
                  <c:v>Cumulative VideoData Main ROV Cameras HD 60P + Mezz TB -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'DataStorageAll+4K+Archive'!$C$4:$C$16</c:f>
              <c:numCache>
                <c:formatCode>0</c:formatCode>
                <c:ptCount val="13"/>
                <c:pt idx="0" formatCode="General">
                  <c:v>180</c:v>
                </c:pt>
                <c:pt idx="1">
                  <c:v>326.70000000000005</c:v>
                </c:pt>
                <c:pt idx="2">
                  <c:v>653.40000000000009</c:v>
                </c:pt>
                <c:pt idx="3">
                  <c:v>653.40000000000009</c:v>
                </c:pt>
                <c:pt idx="4">
                  <c:v>653.40000000000009</c:v>
                </c:pt>
                <c:pt idx="5">
                  <c:v>653.40000000000009</c:v>
                </c:pt>
                <c:pt idx="6">
                  <c:v>653.40000000000009</c:v>
                </c:pt>
                <c:pt idx="7">
                  <c:v>653.40000000000009</c:v>
                </c:pt>
                <c:pt idx="8">
                  <c:v>653.40000000000009</c:v>
                </c:pt>
                <c:pt idx="9">
                  <c:v>653.40000000000009</c:v>
                </c:pt>
                <c:pt idx="10">
                  <c:v>653.40000000000009</c:v>
                </c:pt>
                <c:pt idx="11">
                  <c:v>653.40000000000009</c:v>
                </c:pt>
                <c:pt idx="12">
                  <c:v>653.40000000000009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C-432A-8CF1-98E65BB0A597}"/>
            </c:ext>
          </c:extLst>
        </c:ser>
        <c:ser>
          <c:idx val="1"/>
          <c:order val="1"/>
          <c:tx>
            <c:strRef>
              <c:f>'DataStorageAll+4K+Archive'!$F$2</c:f>
              <c:strCache>
                <c:ptCount val="1"/>
                <c:pt idx="0">
                  <c:v>Model C Cumulative VideoData Main ROV Cameras 4K HQ Realtime Selects + LT + Mezz TB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'DataStorageAll+4K+Archive'!$F$4:$F$16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854.40000000000009</c:v>
                </c:pt>
                <c:pt idx="3" formatCode="0">
                  <c:v>1708.8000000000002</c:v>
                </c:pt>
                <c:pt idx="4" formatCode="0">
                  <c:v>2563.2000000000003</c:v>
                </c:pt>
                <c:pt idx="5" formatCode="0">
                  <c:v>3417.6000000000004</c:v>
                </c:pt>
                <c:pt idx="6" formatCode="0">
                  <c:v>4272.0000000000009</c:v>
                </c:pt>
                <c:pt idx="7" formatCode="0">
                  <c:v>5126.4000000000015</c:v>
                </c:pt>
                <c:pt idx="8" formatCode="0">
                  <c:v>5980.800000000002</c:v>
                </c:pt>
                <c:pt idx="9" formatCode="0">
                  <c:v>6835.2000000000025</c:v>
                </c:pt>
                <c:pt idx="10" formatCode="0">
                  <c:v>7689.6000000000031</c:v>
                </c:pt>
                <c:pt idx="11" formatCode="0">
                  <c:v>8544.0000000000036</c:v>
                </c:pt>
                <c:pt idx="12" formatCode="0">
                  <c:v>9398.4000000000033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C-432A-8CF1-98E65BB0A597}"/>
            </c:ext>
          </c:extLst>
        </c:ser>
        <c:ser>
          <c:idx val="2"/>
          <c:order val="2"/>
          <c:tx>
            <c:strRef>
              <c:f>'DataStorageAll+4K+Archive'!$H$2</c:f>
              <c:strCache>
                <c:ptCount val="1"/>
                <c:pt idx="0">
                  <c:v>Cumulative VideoData All other Sources TB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'DataStorageAll+4K+Archive'!$H$4:$H$16</c:f>
              <c:numCache>
                <c:formatCode>0</c:formatCode>
                <c:ptCount val="13"/>
                <c:pt idx="0" formatCode="General">
                  <c:v>20</c:v>
                </c:pt>
                <c:pt idx="1">
                  <c:v>44.75</c:v>
                </c:pt>
                <c:pt idx="2">
                  <c:v>69.5</c:v>
                </c:pt>
                <c:pt idx="3">
                  <c:v>94.25</c:v>
                </c:pt>
                <c:pt idx="4">
                  <c:v>119</c:v>
                </c:pt>
                <c:pt idx="5">
                  <c:v>143.75</c:v>
                </c:pt>
                <c:pt idx="6">
                  <c:v>168.5</c:v>
                </c:pt>
                <c:pt idx="7">
                  <c:v>193.25</c:v>
                </c:pt>
                <c:pt idx="8">
                  <c:v>218</c:v>
                </c:pt>
                <c:pt idx="9">
                  <c:v>242.75</c:v>
                </c:pt>
                <c:pt idx="10">
                  <c:v>267.5</c:v>
                </c:pt>
                <c:pt idx="11">
                  <c:v>292.25</c:v>
                </c:pt>
                <c:pt idx="1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4C-432A-8CF1-98E65BB0A597}"/>
            </c:ext>
          </c:extLst>
        </c:ser>
        <c:ser>
          <c:idx val="3"/>
          <c:order val="3"/>
          <c:tx>
            <c:strRef>
              <c:f>'DataStorageAll+4K+Archive'!$J$2</c:f>
              <c:strCache>
                <c:ptCount val="1"/>
                <c:pt idx="0">
                  <c:v>Cumulative All Non-Video Data TB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'DataStorageAll+4K+Archive'!$J$4:$J$16</c:f>
              <c:numCache>
                <c:formatCode>0</c:formatCode>
                <c:ptCount val="13"/>
                <c:pt idx="0" formatCode="General">
                  <c:v>350</c:v>
                </c:pt>
                <c:pt idx="1">
                  <c:v>480</c:v>
                </c:pt>
                <c:pt idx="2">
                  <c:v>610</c:v>
                </c:pt>
                <c:pt idx="3">
                  <c:v>740</c:v>
                </c:pt>
                <c:pt idx="4">
                  <c:v>870</c:v>
                </c:pt>
                <c:pt idx="5">
                  <c:v>1000</c:v>
                </c:pt>
                <c:pt idx="6">
                  <c:v>1130</c:v>
                </c:pt>
                <c:pt idx="7">
                  <c:v>1260</c:v>
                </c:pt>
                <c:pt idx="8">
                  <c:v>1390</c:v>
                </c:pt>
                <c:pt idx="9">
                  <c:v>1520</c:v>
                </c:pt>
                <c:pt idx="10">
                  <c:v>1650</c:v>
                </c:pt>
                <c:pt idx="11">
                  <c:v>1780</c:v>
                </c:pt>
                <c:pt idx="12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4C-432A-8CF1-98E65BB0A597}"/>
            </c:ext>
          </c:extLst>
        </c:ser>
        <c:ser>
          <c:idx val="4"/>
          <c:order val="4"/>
          <c:tx>
            <c:strRef>
              <c:f>'DataStorageAll+4K+Archive'!$K$2</c:f>
              <c:strCache>
                <c:ptCount val="1"/>
                <c:pt idx="0">
                  <c:v>Netbackup Space 326 Slots at 12TB per slot TB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'DataStorageAll+4K+Archive'!$K$4:$K$16</c:f>
              <c:numCache>
                <c:formatCode>0</c:formatCode>
                <c:ptCount val="13"/>
                <c:pt idx="0">
                  <c:v>3912</c:v>
                </c:pt>
                <c:pt idx="1">
                  <c:v>3912</c:v>
                </c:pt>
                <c:pt idx="2">
                  <c:v>3912</c:v>
                </c:pt>
                <c:pt idx="3">
                  <c:v>3912</c:v>
                </c:pt>
                <c:pt idx="4">
                  <c:v>3912</c:v>
                </c:pt>
                <c:pt idx="5">
                  <c:v>3912</c:v>
                </c:pt>
                <c:pt idx="6">
                  <c:v>3912</c:v>
                </c:pt>
                <c:pt idx="7">
                  <c:v>3912</c:v>
                </c:pt>
                <c:pt idx="8">
                  <c:v>3912</c:v>
                </c:pt>
                <c:pt idx="9">
                  <c:v>3912</c:v>
                </c:pt>
                <c:pt idx="10">
                  <c:v>3912</c:v>
                </c:pt>
                <c:pt idx="11">
                  <c:v>3912</c:v>
                </c:pt>
                <c:pt idx="12">
                  <c:v>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4C-432A-8CF1-98E65BB0A597}"/>
            </c:ext>
          </c:extLst>
        </c:ser>
        <c:ser>
          <c:idx val="5"/>
          <c:order val="6"/>
          <c:tx>
            <c:strRef>
              <c:f>'DataStorageAll+4K+Archive'!$I$2</c:f>
              <c:strCache>
                <c:ptCount val="1"/>
                <c:pt idx="0">
                  <c:v>Video Archive Conversion to File Data TB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'DataStorageAll+4K+Archive'!$I$4:$I$16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810.53010000000006</c:v>
                </c:pt>
                <c:pt idx="3" formatCode="0">
                  <c:v>1621.0602000000001</c:v>
                </c:pt>
                <c:pt idx="4" formatCode="0">
                  <c:v>1621.0602000000001</c:v>
                </c:pt>
                <c:pt idx="5" formatCode="0">
                  <c:v>1621.0602000000001</c:v>
                </c:pt>
                <c:pt idx="6" formatCode="0">
                  <c:v>1621.0602000000001</c:v>
                </c:pt>
                <c:pt idx="7" formatCode="0">
                  <c:v>1621.0602000000001</c:v>
                </c:pt>
                <c:pt idx="8" formatCode="0">
                  <c:v>1621.0602000000001</c:v>
                </c:pt>
                <c:pt idx="9" formatCode="0">
                  <c:v>1621.0602000000001</c:v>
                </c:pt>
                <c:pt idx="10" formatCode="0">
                  <c:v>1621.0602000000001</c:v>
                </c:pt>
                <c:pt idx="11" formatCode="0">
                  <c:v>1621.0602000000001</c:v>
                </c:pt>
                <c:pt idx="12" formatCode="0">
                  <c:v>1621.0602000000001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4C-432A-8CF1-98E65BB0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18896"/>
        <c:axId val="208014976"/>
      </c:areaChart>
      <c:areaChart>
        <c:grouping val="stacked"/>
        <c:varyColors val="0"/>
        <c:ser>
          <c:idx val="6"/>
          <c:order val="5"/>
          <c:tx>
            <c:strRef>
              <c:f>'DataStorageAll+4K+Archive'!$M$2</c:f>
              <c:strCache>
                <c:ptCount val="1"/>
                <c:pt idx="0">
                  <c:v>System Total Capacity TB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cat>
            <c:numRef>
              <c:f>'DataStorageAll+4K+Archive'!$A$4:$A$15</c:f>
              <c:numCache>
                <c:formatCode>0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'DataStorageAll+4K+Archive'!$M$4:$M$16</c:f>
              <c:numCache>
                <c:formatCode>#,##0</c:formatCode>
                <c:ptCount val="13"/>
                <c:pt idx="0">
                  <c:v>15300</c:v>
                </c:pt>
                <c:pt idx="1">
                  <c:v>15300</c:v>
                </c:pt>
                <c:pt idx="2">
                  <c:v>15300</c:v>
                </c:pt>
                <c:pt idx="3">
                  <c:v>15300</c:v>
                </c:pt>
                <c:pt idx="4">
                  <c:v>15300</c:v>
                </c:pt>
                <c:pt idx="5">
                  <c:v>36780</c:v>
                </c:pt>
                <c:pt idx="6">
                  <c:v>36780</c:v>
                </c:pt>
                <c:pt idx="7">
                  <c:v>36780</c:v>
                </c:pt>
                <c:pt idx="8">
                  <c:v>36780</c:v>
                </c:pt>
                <c:pt idx="9">
                  <c:v>36780</c:v>
                </c:pt>
                <c:pt idx="10">
                  <c:v>36780</c:v>
                </c:pt>
                <c:pt idx="11">
                  <c:v>36780</c:v>
                </c:pt>
                <c:pt idx="12">
                  <c:v>36780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4C-432A-8CF1-98E65BB0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0464"/>
        <c:axId val="208021248"/>
      </c:areaChart>
      <c:catAx>
        <c:axId val="2080188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14976"/>
        <c:crosses val="autoZero"/>
        <c:auto val="1"/>
        <c:lblAlgn val="ctr"/>
        <c:lblOffset val="100"/>
        <c:noMultiLvlLbl val="0"/>
      </c:catAx>
      <c:valAx>
        <c:axId val="208014976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1889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5234613040828763E-2"/>
                <c:y val="6.4042553191489368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8021248"/>
        <c:scaling>
          <c:orientation val="minMax"/>
          <c:max val="4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20464"/>
        <c:crosses val="max"/>
        <c:crossBetween val="midCat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08020464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08021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236906510034264E-2"/>
          <c:y val="0.8200531847912238"/>
          <c:w val="0.98286833088595216"/>
          <c:h val="0.160953371294689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Video</a:t>
            </a:r>
            <a:r>
              <a:rPr lang="en-US" baseline="0"/>
              <a:t> Only </a:t>
            </a:r>
            <a:r>
              <a:rPr lang="en-US"/>
              <a:t>Data Storage Costs with</a:t>
            </a:r>
            <a:r>
              <a:rPr lang="en-US" baseline="0"/>
              <a:t> 4K Cameras on ROV's Model C Select 4K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'DataStorageAll+4K+Archive'!$Q$2</c:f>
              <c:strCache>
                <c:ptCount val="1"/>
                <c:pt idx="0">
                  <c:v>2 Main ROV Cameras Annual Video Fixed Cost + Tape HD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'DataStorageAll+4K+Archive'!$Q$4:$Q$16</c:f>
              <c:numCache>
                <c:formatCode>"$"#,##0</c:formatCode>
                <c:ptCount val="13"/>
                <c:pt idx="0">
                  <c:v>7069.552941176471</c:v>
                </c:pt>
                <c:pt idx="1">
                  <c:v>8077.4385882352963</c:v>
                </c:pt>
                <c:pt idx="2">
                  <c:v>17034.33017647059</c:v>
                </c:pt>
                <c:pt idx="3">
                  <c:v>8406.1831764705894</c:v>
                </c:pt>
                <c:pt idx="4">
                  <c:v>8406.1831764705894</c:v>
                </c:pt>
                <c:pt idx="5">
                  <c:v>8406.1831764705894</c:v>
                </c:pt>
                <c:pt idx="6">
                  <c:v>8406.1831764705894</c:v>
                </c:pt>
                <c:pt idx="7">
                  <c:v>8406.1831764705894</c:v>
                </c:pt>
                <c:pt idx="8">
                  <c:v>8406.1831764705894</c:v>
                </c:pt>
                <c:pt idx="9">
                  <c:v>8406.1831764705894</c:v>
                </c:pt>
                <c:pt idx="10">
                  <c:v>8406.1831764705894</c:v>
                </c:pt>
                <c:pt idx="11">
                  <c:v>8406.1831764705894</c:v>
                </c:pt>
                <c:pt idx="12">
                  <c:v>8406.1831764705894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8-43F5-AB9D-B4747109A632}"/>
            </c:ext>
          </c:extLst>
        </c:ser>
        <c:ser>
          <c:idx val="1"/>
          <c:order val="1"/>
          <c:tx>
            <c:strRef>
              <c:f>'DataStorageAll+4K+Archive'!$T$2</c:f>
              <c:strCache>
                <c:ptCount val="1"/>
                <c:pt idx="0">
                  <c:v>Model C 2 Main ROV Cameras Annual Video Fixed Cost + Tape 4K with Real-Time Selects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'DataStorageAll+4K+Archive'!$T$4:$T$16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33556.811294117651</c:v>
                </c:pt>
                <c:pt idx="3">
                  <c:v>44548.918588235298</c:v>
                </c:pt>
                <c:pt idx="4">
                  <c:v>55541.025882352944</c:v>
                </c:pt>
                <c:pt idx="5">
                  <c:v>66533.133176470597</c:v>
                </c:pt>
                <c:pt idx="6">
                  <c:v>77525.240470588265</c:v>
                </c:pt>
                <c:pt idx="7">
                  <c:v>78663.230145985232</c:v>
                </c:pt>
                <c:pt idx="8">
                  <c:v>79801.219821382198</c:v>
                </c:pt>
                <c:pt idx="9">
                  <c:v>80939.209496779164</c:v>
                </c:pt>
                <c:pt idx="10">
                  <c:v>82077.19917217613</c:v>
                </c:pt>
                <c:pt idx="11">
                  <c:v>83215.188847573096</c:v>
                </c:pt>
                <c:pt idx="12">
                  <c:v>84353.178522970033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8-43F5-AB9D-B4747109A632}"/>
            </c:ext>
          </c:extLst>
        </c:ser>
        <c:ser>
          <c:idx val="2"/>
          <c:order val="2"/>
          <c:tx>
            <c:strRef>
              <c:f>'DataStorageAll+4K+Archive'!$V$2</c:f>
              <c:strCache>
                <c:ptCount val="1"/>
                <c:pt idx="0">
                  <c:v>All other Video Data Projected Annual Fixed Cost + Tape HD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'DataStorageAll+4K+Archive'!$V$4:$V$16</c:f>
              <c:numCache>
                <c:formatCode>"$"#,##0</c:formatCode>
                <c:ptCount val="13"/>
                <c:pt idx="0">
                  <c:v>785.50588235294117</c:v>
                </c:pt>
                <c:pt idx="1">
                  <c:v>1229.369411764706</c:v>
                </c:pt>
                <c:pt idx="2">
                  <c:v>1547.7854411764706</c:v>
                </c:pt>
                <c:pt idx="3">
                  <c:v>1866.2014705882352</c:v>
                </c:pt>
                <c:pt idx="4">
                  <c:v>2184.6175000000003</c:v>
                </c:pt>
                <c:pt idx="5">
                  <c:v>2503.0335294117649</c:v>
                </c:pt>
                <c:pt idx="6">
                  <c:v>2821.4495588235295</c:v>
                </c:pt>
                <c:pt idx="7">
                  <c:v>2854.4144985076059</c:v>
                </c:pt>
                <c:pt idx="8">
                  <c:v>2887.3794381916823</c:v>
                </c:pt>
                <c:pt idx="9">
                  <c:v>2920.3443778757587</c:v>
                </c:pt>
                <c:pt idx="10">
                  <c:v>2953.3093175598351</c:v>
                </c:pt>
                <c:pt idx="11">
                  <c:v>2986.2742572439115</c:v>
                </c:pt>
                <c:pt idx="12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8-43F5-AB9D-B4747109A632}"/>
            </c:ext>
          </c:extLst>
        </c:ser>
        <c:ser>
          <c:idx val="3"/>
          <c:order val="3"/>
          <c:tx>
            <c:strRef>
              <c:f>'DataStorageAll+4K+Archive'!$W$2</c:f>
              <c:strCache>
                <c:ptCount val="1"/>
                <c:pt idx="0">
                  <c:v>Video Archive Conversion to File Data annual storage 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'DataStorageAll+4K+Archive'!$W$4:$W$16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31833.808068705883</c:v>
                </c:pt>
                <c:pt idx="3">
                  <c:v>42261.516196411765</c:v>
                </c:pt>
                <c:pt idx="4">
                  <c:v>20855.416255411765</c:v>
                </c:pt>
                <c:pt idx="5">
                  <c:v>20855.416255411765</c:v>
                </c:pt>
                <c:pt idx="6">
                  <c:v>20855.416255411765</c:v>
                </c:pt>
                <c:pt idx="7">
                  <c:v>20855.416255411765</c:v>
                </c:pt>
                <c:pt idx="8">
                  <c:v>20855.416255411765</c:v>
                </c:pt>
                <c:pt idx="9">
                  <c:v>20855.416255411765</c:v>
                </c:pt>
                <c:pt idx="10">
                  <c:v>20855.416255411765</c:v>
                </c:pt>
                <c:pt idx="11">
                  <c:v>20855.416255411765</c:v>
                </c:pt>
                <c:pt idx="12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38-43F5-AB9D-B4747109A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20856"/>
        <c:axId val="208021640"/>
      </c:areaChart>
      <c:catAx>
        <c:axId val="2080208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21640"/>
        <c:crosses val="autoZero"/>
        <c:auto val="1"/>
        <c:lblAlgn val="ctr"/>
        <c:lblOffset val="100"/>
        <c:noMultiLvlLbl val="0"/>
      </c:catAx>
      <c:valAx>
        <c:axId val="208021640"/>
        <c:scaling>
          <c:orientation val="minMax"/>
          <c:max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20856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187690432663011E-2"/>
                <c:y val="0.398741986145174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600" b="1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56397685972073E-2"/>
          <c:y val="0.86587493808393257"/>
          <c:w val="0.96567672983608321"/>
          <c:h val="0.10809469315250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MBARI/IBM Elastic</a:t>
            </a:r>
            <a:r>
              <a:rPr lang="en-US" baseline="0"/>
              <a:t> Storage "</a:t>
            </a:r>
            <a:r>
              <a:rPr lang="en-US"/>
              <a:t>Titan" and Projected Data Storage Model</a:t>
            </a:r>
            <a:r>
              <a:rPr lang="en-US" baseline="0"/>
              <a:t> B </a:t>
            </a:r>
            <a:r>
              <a:rPr lang="en-US"/>
              <a:t>Select 4K- 10 years</a:t>
            </a:r>
            <a:r>
              <a:rPr lang="en-US" baseline="0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71816698588354E-2"/>
          <c:y val="8.7229539040451554E-2"/>
          <c:w val="0.89825636660282326"/>
          <c:h val="0.67222798349641855"/>
        </c:manualLayout>
      </c:layout>
      <c:areaChart>
        <c:grouping val="stacked"/>
        <c:varyColors val="0"/>
        <c:ser>
          <c:idx val="0"/>
          <c:order val="0"/>
          <c:tx>
            <c:strRef>
              <c:f>'DataStorageAll+4K+Archive'!$C$2</c:f>
              <c:strCache>
                <c:ptCount val="1"/>
                <c:pt idx="0">
                  <c:v>Cumulative VideoData Main ROV Cameras HD 60P + Mezz TB -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'DataStorageAll+4K+Archive'!$C$4:$C$16</c:f>
              <c:numCache>
                <c:formatCode>0</c:formatCode>
                <c:ptCount val="13"/>
                <c:pt idx="0" formatCode="General">
                  <c:v>180</c:v>
                </c:pt>
                <c:pt idx="1">
                  <c:v>326.70000000000005</c:v>
                </c:pt>
                <c:pt idx="2">
                  <c:v>653.40000000000009</c:v>
                </c:pt>
                <c:pt idx="3">
                  <c:v>653.40000000000009</c:v>
                </c:pt>
                <c:pt idx="4">
                  <c:v>653.40000000000009</c:v>
                </c:pt>
                <c:pt idx="5">
                  <c:v>653.40000000000009</c:v>
                </c:pt>
                <c:pt idx="6">
                  <c:v>653.40000000000009</c:v>
                </c:pt>
                <c:pt idx="7">
                  <c:v>653.40000000000009</c:v>
                </c:pt>
                <c:pt idx="8">
                  <c:v>653.40000000000009</c:v>
                </c:pt>
                <c:pt idx="9">
                  <c:v>653.40000000000009</c:v>
                </c:pt>
                <c:pt idx="10">
                  <c:v>653.40000000000009</c:v>
                </c:pt>
                <c:pt idx="11">
                  <c:v>653.40000000000009</c:v>
                </c:pt>
                <c:pt idx="12">
                  <c:v>653.40000000000009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3-481D-885A-6712F64CBBD2}"/>
            </c:ext>
          </c:extLst>
        </c:ser>
        <c:ser>
          <c:idx val="1"/>
          <c:order val="1"/>
          <c:tx>
            <c:strRef>
              <c:f>'DataStorageAll+4K+Archive'!$E$2</c:f>
              <c:strCache>
                <c:ptCount val="1"/>
                <c:pt idx="0">
                  <c:v>Model B Cumulative VideoData Main ROV Cameras 4K HQ Post Selects + LT + Mezz TB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'DataStorageAll+4K+Archive'!$E$4:$E$16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854.40000000000009</c:v>
                </c:pt>
                <c:pt idx="3">
                  <c:v>1708.8000000000002</c:v>
                </c:pt>
                <c:pt idx="4">
                  <c:v>2563.2000000000003</c:v>
                </c:pt>
                <c:pt idx="5">
                  <c:v>3417.6000000000004</c:v>
                </c:pt>
                <c:pt idx="6">
                  <c:v>4272.0000000000009</c:v>
                </c:pt>
                <c:pt idx="7">
                  <c:v>5126.4000000000015</c:v>
                </c:pt>
                <c:pt idx="8">
                  <c:v>5980.800000000002</c:v>
                </c:pt>
                <c:pt idx="9">
                  <c:v>6835.2000000000025</c:v>
                </c:pt>
                <c:pt idx="10">
                  <c:v>7689.6000000000031</c:v>
                </c:pt>
                <c:pt idx="11">
                  <c:v>8544.0000000000036</c:v>
                </c:pt>
                <c:pt idx="12">
                  <c:v>9398.4000000000033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3-481D-885A-6712F64CBBD2}"/>
            </c:ext>
          </c:extLst>
        </c:ser>
        <c:ser>
          <c:idx val="2"/>
          <c:order val="2"/>
          <c:tx>
            <c:strRef>
              <c:f>'DataStorageAll+4K+Archive'!$H$2</c:f>
              <c:strCache>
                <c:ptCount val="1"/>
                <c:pt idx="0">
                  <c:v>Cumulative VideoData All other Sources TB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'DataStorageAll+4K+Archive'!$H$4:$H$16</c:f>
              <c:numCache>
                <c:formatCode>0</c:formatCode>
                <c:ptCount val="13"/>
                <c:pt idx="0" formatCode="General">
                  <c:v>20</c:v>
                </c:pt>
                <c:pt idx="1">
                  <c:v>44.75</c:v>
                </c:pt>
                <c:pt idx="2">
                  <c:v>69.5</c:v>
                </c:pt>
                <c:pt idx="3">
                  <c:v>94.25</c:v>
                </c:pt>
                <c:pt idx="4">
                  <c:v>119</c:v>
                </c:pt>
                <c:pt idx="5">
                  <c:v>143.75</c:v>
                </c:pt>
                <c:pt idx="6">
                  <c:v>168.5</c:v>
                </c:pt>
                <c:pt idx="7">
                  <c:v>193.25</c:v>
                </c:pt>
                <c:pt idx="8">
                  <c:v>218</c:v>
                </c:pt>
                <c:pt idx="9">
                  <c:v>242.75</c:v>
                </c:pt>
                <c:pt idx="10">
                  <c:v>267.5</c:v>
                </c:pt>
                <c:pt idx="11">
                  <c:v>292.25</c:v>
                </c:pt>
                <c:pt idx="1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3-481D-885A-6712F64CBBD2}"/>
            </c:ext>
          </c:extLst>
        </c:ser>
        <c:ser>
          <c:idx val="3"/>
          <c:order val="3"/>
          <c:tx>
            <c:strRef>
              <c:f>'DataStorageAll+4K+Archive'!$J$2</c:f>
              <c:strCache>
                <c:ptCount val="1"/>
                <c:pt idx="0">
                  <c:v>Cumulative All Non-Video Data TB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'DataStorageAll+4K+Archive'!$J$4:$J$16</c:f>
              <c:numCache>
                <c:formatCode>0</c:formatCode>
                <c:ptCount val="13"/>
                <c:pt idx="0" formatCode="General">
                  <c:v>350</c:v>
                </c:pt>
                <c:pt idx="1">
                  <c:v>480</c:v>
                </c:pt>
                <c:pt idx="2">
                  <c:v>610</c:v>
                </c:pt>
                <c:pt idx="3">
                  <c:v>740</c:v>
                </c:pt>
                <c:pt idx="4">
                  <c:v>870</c:v>
                </c:pt>
                <c:pt idx="5">
                  <c:v>1000</c:v>
                </c:pt>
                <c:pt idx="6">
                  <c:v>1130</c:v>
                </c:pt>
                <c:pt idx="7">
                  <c:v>1260</c:v>
                </c:pt>
                <c:pt idx="8">
                  <c:v>1390</c:v>
                </c:pt>
                <c:pt idx="9">
                  <c:v>1520</c:v>
                </c:pt>
                <c:pt idx="10">
                  <c:v>1650</c:v>
                </c:pt>
                <c:pt idx="11">
                  <c:v>1780</c:v>
                </c:pt>
                <c:pt idx="12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23-481D-885A-6712F64CBBD2}"/>
            </c:ext>
          </c:extLst>
        </c:ser>
        <c:ser>
          <c:idx val="4"/>
          <c:order val="4"/>
          <c:tx>
            <c:strRef>
              <c:f>'DataStorageAll+4K+Archive'!$K$2</c:f>
              <c:strCache>
                <c:ptCount val="1"/>
                <c:pt idx="0">
                  <c:v>Netbackup Space 326 Slots at 12TB per slot TB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'DataStorageAll+4K+Archive'!$K$4:$K$16</c:f>
              <c:numCache>
                <c:formatCode>0</c:formatCode>
                <c:ptCount val="13"/>
                <c:pt idx="0">
                  <c:v>3912</c:v>
                </c:pt>
                <c:pt idx="1">
                  <c:v>3912</c:v>
                </c:pt>
                <c:pt idx="2">
                  <c:v>3912</c:v>
                </c:pt>
                <c:pt idx="3">
                  <c:v>3912</c:v>
                </c:pt>
                <c:pt idx="4">
                  <c:v>3912</c:v>
                </c:pt>
                <c:pt idx="5">
                  <c:v>3912</c:v>
                </c:pt>
                <c:pt idx="6">
                  <c:v>3912</c:v>
                </c:pt>
                <c:pt idx="7">
                  <c:v>3912</c:v>
                </c:pt>
                <c:pt idx="8">
                  <c:v>3912</c:v>
                </c:pt>
                <c:pt idx="9">
                  <c:v>3912</c:v>
                </c:pt>
                <c:pt idx="10">
                  <c:v>3912</c:v>
                </c:pt>
                <c:pt idx="11">
                  <c:v>3912</c:v>
                </c:pt>
                <c:pt idx="12">
                  <c:v>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23-481D-885A-6712F64CBBD2}"/>
            </c:ext>
          </c:extLst>
        </c:ser>
        <c:ser>
          <c:idx val="5"/>
          <c:order val="6"/>
          <c:tx>
            <c:strRef>
              <c:f>'DataStorageAll+4K+Archive'!$I$2</c:f>
              <c:strCache>
                <c:ptCount val="1"/>
                <c:pt idx="0">
                  <c:v>Video Archive Conversion to File Data TB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'DataStorageAll+4K+Archive'!$I$4:$I$16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810.53010000000006</c:v>
                </c:pt>
                <c:pt idx="3" formatCode="0">
                  <c:v>1621.0602000000001</c:v>
                </c:pt>
                <c:pt idx="4" formatCode="0">
                  <c:v>1621.0602000000001</c:v>
                </c:pt>
                <c:pt idx="5" formatCode="0">
                  <c:v>1621.0602000000001</c:v>
                </c:pt>
                <c:pt idx="6" formatCode="0">
                  <c:v>1621.0602000000001</c:v>
                </c:pt>
                <c:pt idx="7" formatCode="0">
                  <c:v>1621.0602000000001</c:v>
                </c:pt>
                <c:pt idx="8" formatCode="0">
                  <c:v>1621.0602000000001</c:v>
                </c:pt>
                <c:pt idx="9" formatCode="0">
                  <c:v>1621.0602000000001</c:v>
                </c:pt>
                <c:pt idx="10" formatCode="0">
                  <c:v>1621.0602000000001</c:v>
                </c:pt>
                <c:pt idx="11" formatCode="0">
                  <c:v>1621.0602000000001</c:v>
                </c:pt>
                <c:pt idx="12" formatCode="0">
                  <c:v>1621.0602000000001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23-481D-885A-6712F64C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01304"/>
        <c:axId val="206896992"/>
      </c:areaChart>
      <c:areaChart>
        <c:grouping val="stacked"/>
        <c:varyColors val="0"/>
        <c:ser>
          <c:idx val="6"/>
          <c:order val="5"/>
          <c:tx>
            <c:strRef>
              <c:f>'DataStorageAll+4K+Archive'!$M$2</c:f>
              <c:strCache>
                <c:ptCount val="1"/>
                <c:pt idx="0">
                  <c:v>System Total Capacity TB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cat>
            <c:numRef>
              <c:f>'DataStorageAll+4K+Archive'!$A$4:$A$15</c:f>
              <c:numCache>
                <c:formatCode>0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'DataStorageAll+4K+Archive'!$M$4:$M$16</c:f>
              <c:numCache>
                <c:formatCode>#,##0</c:formatCode>
                <c:ptCount val="13"/>
                <c:pt idx="0">
                  <c:v>15300</c:v>
                </c:pt>
                <c:pt idx="1">
                  <c:v>15300</c:v>
                </c:pt>
                <c:pt idx="2">
                  <c:v>15300</c:v>
                </c:pt>
                <c:pt idx="3">
                  <c:v>15300</c:v>
                </c:pt>
                <c:pt idx="4">
                  <c:v>15300</c:v>
                </c:pt>
                <c:pt idx="5">
                  <c:v>36780</c:v>
                </c:pt>
                <c:pt idx="6">
                  <c:v>36780</c:v>
                </c:pt>
                <c:pt idx="7">
                  <c:v>36780</c:v>
                </c:pt>
                <c:pt idx="8">
                  <c:v>36780</c:v>
                </c:pt>
                <c:pt idx="9">
                  <c:v>36780</c:v>
                </c:pt>
                <c:pt idx="10">
                  <c:v>36780</c:v>
                </c:pt>
                <c:pt idx="11">
                  <c:v>36780</c:v>
                </c:pt>
                <c:pt idx="12">
                  <c:v>36780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23-481D-885A-6712F64C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98952"/>
        <c:axId val="206894640"/>
      </c:areaChart>
      <c:catAx>
        <c:axId val="2069013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6992"/>
        <c:crosses val="autoZero"/>
        <c:auto val="1"/>
        <c:lblAlgn val="ctr"/>
        <c:lblOffset val="100"/>
        <c:noMultiLvlLbl val="0"/>
      </c:catAx>
      <c:valAx>
        <c:axId val="2068969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0130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5234613040828763E-2"/>
                <c:y val="6.4042553191489368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6894640"/>
        <c:scaling>
          <c:orientation val="minMax"/>
          <c:max val="4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8952"/>
        <c:crosses val="max"/>
        <c:crossBetween val="midCat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0689895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0689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66542526778747E-2"/>
          <c:y val="0.8200531847912238"/>
          <c:w val="0.96546444835778689"/>
          <c:h val="0.165714667022554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Video</a:t>
            </a:r>
            <a:r>
              <a:rPr lang="en-US" baseline="0"/>
              <a:t> Only </a:t>
            </a:r>
            <a:r>
              <a:rPr lang="en-US"/>
              <a:t>Data Storage Costs with</a:t>
            </a:r>
            <a:r>
              <a:rPr lang="en-US" baseline="0"/>
              <a:t> 4K Cameras on ROV's Model B Select 4K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'DataStorageAll+4K+Archive'!$Q$2</c:f>
              <c:strCache>
                <c:ptCount val="1"/>
                <c:pt idx="0">
                  <c:v>2 Main ROV Cameras Annual Video Fixed Cost + Tape HD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'DataStorageAll+4K+Archive'!$Q$4:$Q$16</c:f>
              <c:numCache>
                <c:formatCode>"$"#,##0</c:formatCode>
                <c:ptCount val="13"/>
                <c:pt idx="0">
                  <c:v>7069.552941176471</c:v>
                </c:pt>
                <c:pt idx="1">
                  <c:v>8077.4385882352963</c:v>
                </c:pt>
                <c:pt idx="2">
                  <c:v>17034.33017647059</c:v>
                </c:pt>
                <c:pt idx="3">
                  <c:v>8406.1831764705894</c:v>
                </c:pt>
                <c:pt idx="4">
                  <c:v>8406.1831764705894</c:v>
                </c:pt>
                <c:pt idx="5">
                  <c:v>8406.1831764705894</c:v>
                </c:pt>
                <c:pt idx="6">
                  <c:v>8406.1831764705894</c:v>
                </c:pt>
                <c:pt idx="7">
                  <c:v>8406.1831764705894</c:v>
                </c:pt>
                <c:pt idx="8">
                  <c:v>8406.1831764705894</c:v>
                </c:pt>
                <c:pt idx="9">
                  <c:v>8406.1831764705894</c:v>
                </c:pt>
                <c:pt idx="10">
                  <c:v>8406.1831764705894</c:v>
                </c:pt>
                <c:pt idx="11">
                  <c:v>8406.1831764705894</c:v>
                </c:pt>
                <c:pt idx="12">
                  <c:v>8406.1831764705894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35-442E-8B97-26FA576B8AD6}"/>
            </c:ext>
          </c:extLst>
        </c:ser>
        <c:ser>
          <c:idx val="1"/>
          <c:order val="1"/>
          <c:tx>
            <c:strRef>
              <c:f>'DataStorageAll+4K+Archive'!$S$2</c:f>
              <c:strCache>
                <c:ptCount val="1"/>
                <c:pt idx="0">
                  <c:v>Model B 2 Main ROV Cameras Annual Video Fixed Cost + Tape 4K with Annotation Selects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'DataStorageAll+4K+Archive'!$S$4:$S$16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51865.319294117653</c:v>
                </c:pt>
                <c:pt idx="3">
                  <c:v>63200.650588235301</c:v>
                </c:pt>
                <c:pt idx="4">
                  <c:v>74535.981882352949</c:v>
                </c:pt>
                <c:pt idx="5">
                  <c:v>85871.31317647059</c:v>
                </c:pt>
                <c:pt idx="6">
                  <c:v>97206.64447058826</c:v>
                </c:pt>
                <c:pt idx="7">
                  <c:v>98687.858145985243</c:v>
                </c:pt>
                <c:pt idx="8">
                  <c:v>100169.07182138221</c:v>
                </c:pt>
                <c:pt idx="9">
                  <c:v>101650.28549677916</c:v>
                </c:pt>
                <c:pt idx="10">
                  <c:v>103131.49917217613</c:v>
                </c:pt>
                <c:pt idx="11">
                  <c:v>104612.71284757312</c:v>
                </c:pt>
                <c:pt idx="12">
                  <c:v>106093.92652297007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35-442E-8B97-26FA576B8AD6}"/>
            </c:ext>
          </c:extLst>
        </c:ser>
        <c:ser>
          <c:idx val="2"/>
          <c:order val="2"/>
          <c:tx>
            <c:strRef>
              <c:f>'DataStorageAll+4K+Archive'!$V$2</c:f>
              <c:strCache>
                <c:ptCount val="1"/>
                <c:pt idx="0">
                  <c:v>All other Video Data Projected Annual Fixed Cost + Tape HD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'DataStorageAll+4K+Archive'!$V$4:$V$16</c:f>
              <c:numCache>
                <c:formatCode>"$"#,##0</c:formatCode>
                <c:ptCount val="13"/>
                <c:pt idx="0">
                  <c:v>785.50588235294117</c:v>
                </c:pt>
                <c:pt idx="1">
                  <c:v>1229.369411764706</c:v>
                </c:pt>
                <c:pt idx="2">
                  <c:v>1547.7854411764706</c:v>
                </c:pt>
                <c:pt idx="3">
                  <c:v>1866.2014705882352</c:v>
                </c:pt>
                <c:pt idx="4">
                  <c:v>2184.6175000000003</c:v>
                </c:pt>
                <c:pt idx="5">
                  <c:v>2503.0335294117649</c:v>
                </c:pt>
                <c:pt idx="6">
                  <c:v>2821.4495588235295</c:v>
                </c:pt>
                <c:pt idx="7">
                  <c:v>2854.4144985076059</c:v>
                </c:pt>
                <c:pt idx="8">
                  <c:v>2887.3794381916823</c:v>
                </c:pt>
                <c:pt idx="9">
                  <c:v>2920.3443778757587</c:v>
                </c:pt>
                <c:pt idx="10">
                  <c:v>2953.3093175598351</c:v>
                </c:pt>
                <c:pt idx="11">
                  <c:v>2986.2742572439115</c:v>
                </c:pt>
                <c:pt idx="12">
                  <c:v>3019.2391969279879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35-442E-8B97-26FA576B8AD6}"/>
            </c:ext>
          </c:extLst>
        </c:ser>
        <c:ser>
          <c:idx val="3"/>
          <c:order val="3"/>
          <c:tx>
            <c:strRef>
              <c:f>'DataStorageAll+4K+Archive'!$W$2</c:f>
              <c:strCache>
                <c:ptCount val="1"/>
                <c:pt idx="0">
                  <c:v>Video Archive Conversion to File Data annual storage 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'DataStorageAll+4K+Archive'!$W$4:$W$16</c:f>
              <c:numCache>
                <c:formatCode>"$"#,##0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31833.808068705883</c:v>
                </c:pt>
                <c:pt idx="3">
                  <c:v>42261.516196411765</c:v>
                </c:pt>
                <c:pt idx="4">
                  <c:v>20855.416255411765</c:v>
                </c:pt>
                <c:pt idx="5">
                  <c:v>20855.416255411765</c:v>
                </c:pt>
                <c:pt idx="6">
                  <c:v>20855.416255411765</c:v>
                </c:pt>
                <c:pt idx="7">
                  <c:v>20855.416255411765</c:v>
                </c:pt>
                <c:pt idx="8">
                  <c:v>20855.416255411765</c:v>
                </c:pt>
                <c:pt idx="9">
                  <c:v>20855.416255411765</c:v>
                </c:pt>
                <c:pt idx="10">
                  <c:v>20855.416255411765</c:v>
                </c:pt>
                <c:pt idx="11">
                  <c:v>20855.416255411765</c:v>
                </c:pt>
                <c:pt idx="12">
                  <c:v>20855.416255411765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35-442E-8B97-26FA576B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02088"/>
        <c:axId val="206895032"/>
      </c:areaChart>
      <c:catAx>
        <c:axId val="2069020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5032"/>
        <c:crosses val="autoZero"/>
        <c:auto val="1"/>
        <c:lblAlgn val="ctr"/>
        <c:lblOffset val="100"/>
        <c:noMultiLvlLbl val="0"/>
      </c:catAx>
      <c:valAx>
        <c:axId val="206895032"/>
        <c:scaling>
          <c:orientation val="minMax"/>
          <c:max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0208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187690432663011E-2"/>
                <c:y val="0.3987419861451743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sz="1600" b="1"/>
                    <a:t>Thousands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12688226746987E-2"/>
          <c:y val="0.8593673458930432"/>
          <c:w val="0.98074045810353006"/>
          <c:h val="0.10809469315250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MBARI/IBM Elastic</a:t>
            </a:r>
            <a:r>
              <a:rPr lang="en-US" baseline="0"/>
              <a:t> Storage "</a:t>
            </a:r>
            <a:r>
              <a:rPr lang="en-US"/>
              <a:t>Titan" and Projected Data Storage Model</a:t>
            </a:r>
            <a:r>
              <a:rPr lang="en-US" baseline="0"/>
              <a:t> D </a:t>
            </a:r>
            <a:r>
              <a:rPr lang="en-US"/>
              <a:t>Select 4K- 10 years</a:t>
            </a:r>
            <a:r>
              <a:rPr lang="en-US" baseline="0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871816698588354E-2"/>
          <c:y val="8.7229539040451554E-2"/>
          <c:w val="0.89825636660282326"/>
          <c:h val="0.67222798349641855"/>
        </c:manualLayout>
      </c:layout>
      <c:areaChart>
        <c:grouping val="stacked"/>
        <c:varyColors val="0"/>
        <c:ser>
          <c:idx val="0"/>
          <c:order val="0"/>
          <c:tx>
            <c:strRef>
              <c:f>'DataStorageAll+4K+Archive'!$C$2</c:f>
              <c:strCache>
                <c:ptCount val="1"/>
                <c:pt idx="0">
                  <c:v>Cumulative VideoData Main ROV Cameras HD 60P + Mezz TB - switch to 4K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'DataStorageAll+4K+Archive'!$C$4:$C$16</c:f>
              <c:numCache>
                <c:formatCode>0</c:formatCode>
                <c:ptCount val="13"/>
                <c:pt idx="0" formatCode="General">
                  <c:v>180</c:v>
                </c:pt>
                <c:pt idx="1">
                  <c:v>326.70000000000005</c:v>
                </c:pt>
                <c:pt idx="2">
                  <c:v>653.40000000000009</c:v>
                </c:pt>
                <c:pt idx="3">
                  <c:v>653.40000000000009</c:v>
                </c:pt>
                <c:pt idx="4">
                  <c:v>653.40000000000009</c:v>
                </c:pt>
                <c:pt idx="5">
                  <c:v>653.40000000000009</c:v>
                </c:pt>
                <c:pt idx="6">
                  <c:v>653.40000000000009</c:v>
                </c:pt>
                <c:pt idx="7">
                  <c:v>653.40000000000009</c:v>
                </c:pt>
                <c:pt idx="8">
                  <c:v>653.40000000000009</c:v>
                </c:pt>
                <c:pt idx="9">
                  <c:v>653.40000000000009</c:v>
                </c:pt>
                <c:pt idx="10">
                  <c:v>653.40000000000009</c:v>
                </c:pt>
                <c:pt idx="11">
                  <c:v>653.40000000000009</c:v>
                </c:pt>
                <c:pt idx="12">
                  <c:v>653.40000000000009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4-4FAD-850A-4EC82124D73A}"/>
            </c:ext>
          </c:extLst>
        </c:ser>
        <c:ser>
          <c:idx val="1"/>
          <c:order val="1"/>
          <c:tx>
            <c:strRef>
              <c:f>'DataStorageAll+4K+Archive'!$G$2</c:f>
              <c:strCache>
                <c:ptCount val="1"/>
                <c:pt idx="0">
                  <c:v>Model D Cumulative VideoData Main ROV Cameras 4K HQ Post Selects + Mezz only TB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'DataStorageAll+4K+Archive'!$G$4:$G$16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381.6</c:v>
                </c:pt>
                <c:pt idx="3" formatCode="0">
                  <c:v>763.2</c:v>
                </c:pt>
                <c:pt idx="4" formatCode="0">
                  <c:v>1144.8</c:v>
                </c:pt>
                <c:pt idx="5" formatCode="0">
                  <c:v>1526.3999999999999</c:v>
                </c:pt>
                <c:pt idx="6" formatCode="0">
                  <c:v>1907.9999999999998</c:v>
                </c:pt>
                <c:pt idx="7" formatCode="0">
                  <c:v>2289.6</c:v>
                </c:pt>
                <c:pt idx="8" formatCode="0">
                  <c:v>2671.2000000000003</c:v>
                </c:pt>
                <c:pt idx="9" formatCode="0">
                  <c:v>3052.8000000000006</c:v>
                </c:pt>
                <c:pt idx="10" formatCode="0">
                  <c:v>3434.400000000001</c:v>
                </c:pt>
                <c:pt idx="11" formatCode="0">
                  <c:v>3816.0000000000014</c:v>
                </c:pt>
                <c:pt idx="12" formatCode="0">
                  <c:v>4197.6000000000013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54-4FAD-850A-4EC82124D73A}"/>
            </c:ext>
          </c:extLst>
        </c:ser>
        <c:ser>
          <c:idx val="2"/>
          <c:order val="2"/>
          <c:tx>
            <c:strRef>
              <c:f>'DataStorageAll+4K+Archive'!$H$2</c:f>
              <c:strCache>
                <c:ptCount val="1"/>
                <c:pt idx="0">
                  <c:v>Cumulative VideoData All other Sources TB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'DataStorageAll+4K+Archive'!$H$4:$H$16</c:f>
              <c:numCache>
                <c:formatCode>0</c:formatCode>
                <c:ptCount val="13"/>
                <c:pt idx="0" formatCode="General">
                  <c:v>20</c:v>
                </c:pt>
                <c:pt idx="1">
                  <c:v>44.75</c:v>
                </c:pt>
                <c:pt idx="2">
                  <c:v>69.5</c:v>
                </c:pt>
                <c:pt idx="3">
                  <c:v>94.25</c:v>
                </c:pt>
                <c:pt idx="4">
                  <c:v>119</c:v>
                </c:pt>
                <c:pt idx="5">
                  <c:v>143.75</c:v>
                </c:pt>
                <c:pt idx="6">
                  <c:v>168.5</c:v>
                </c:pt>
                <c:pt idx="7">
                  <c:v>193.25</c:v>
                </c:pt>
                <c:pt idx="8">
                  <c:v>218</c:v>
                </c:pt>
                <c:pt idx="9">
                  <c:v>242.75</c:v>
                </c:pt>
                <c:pt idx="10">
                  <c:v>267.5</c:v>
                </c:pt>
                <c:pt idx="11">
                  <c:v>292.25</c:v>
                </c:pt>
                <c:pt idx="12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54-4FAD-850A-4EC82124D73A}"/>
            </c:ext>
          </c:extLst>
        </c:ser>
        <c:ser>
          <c:idx val="3"/>
          <c:order val="3"/>
          <c:tx>
            <c:strRef>
              <c:f>'DataStorageAll+4K+Archive'!$J$2</c:f>
              <c:strCache>
                <c:ptCount val="1"/>
                <c:pt idx="0">
                  <c:v>Cumulative All Non-Video Data TB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'DataStorageAll+4K+Archive'!$J$4:$J$16</c:f>
              <c:numCache>
                <c:formatCode>0</c:formatCode>
                <c:ptCount val="13"/>
                <c:pt idx="0" formatCode="General">
                  <c:v>350</c:v>
                </c:pt>
                <c:pt idx="1">
                  <c:v>480</c:v>
                </c:pt>
                <c:pt idx="2">
                  <c:v>610</c:v>
                </c:pt>
                <c:pt idx="3">
                  <c:v>740</c:v>
                </c:pt>
                <c:pt idx="4">
                  <c:v>870</c:v>
                </c:pt>
                <c:pt idx="5">
                  <c:v>1000</c:v>
                </c:pt>
                <c:pt idx="6">
                  <c:v>1130</c:v>
                </c:pt>
                <c:pt idx="7">
                  <c:v>1260</c:v>
                </c:pt>
                <c:pt idx="8">
                  <c:v>1390</c:v>
                </c:pt>
                <c:pt idx="9">
                  <c:v>1520</c:v>
                </c:pt>
                <c:pt idx="10">
                  <c:v>1650</c:v>
                </c:pt>
                <c:pt idx="11">
                  <c:v>1780</c:v>
                </c:pt>
                <c:pt idx="12">
                  <c:v>1910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54-4FAD-850A-4EC82124D73A}"/>
            </c:ext>
          </c:extLst>
        </c:ser>
        <c:ser>
          <c:idx val="4"/>
          <c:order val="4"/>
          <c:tx>
            <c:strRef>
              <c:f>'DataStorageAll+4K+Archive'!$K$2</c:f>
              <c:strCache>
                <c:ptCount val="1"/>
                <c:pt idx="0">
                  <c:v>Netbackup Space 326 Slots at 12TB per slot TB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'DataStorageAll+4K+Archive'!$A$4:$A$16</c:f>
              <c:numCache>
                <c:formatCode>0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'DataStorageAll+4K+Archive'!$K$4:$K$16</c:f>
              <c:numCache>
                <c:formatCode>0</c:formatCode>
                <c:ptCount val="13"/>
                <c:pt idx="0">
                  <c:v>3912</c:v>
                </c:pt>
                <c:pt idx="1">
                  <c:v>3912</c:v>
                </c:pt>
                <c:pt idx="2">
                  <c:v>3912</c:v>
                </c:pt>
                <c:pt idx="3">
                  <c:v>3912</c:v>
                </c:pt>
                <c:pt idx="4">
                  <c:v>3912</c:v>
                </c:pt>
                <c:pt idx="5">
                  <c:v>3912</c:v>
                </c:pt>
                <c:pt idx="6">
                  <c:v>3912</c:v>
                </c:pt>
                <c:pt idx="7">
                  <c:v>3912</c:v>
                </c:pt>
                <c:pt idx="8">
                  <c:v>3912</c:v>
                </c:pt>
                <c:pt idx="9">
                  <c:v>3912</c:v>
                </c:pt>
                <c:pt idx="10">
                  <c:v>3912</c:v>
                </c:pt>
                <c:pt idx="11">
                  <c:v>3912</c:v>
                </c:pt>
                <c:pt idx="12">
                  <c:v>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54-4FAD-850A-4EC82124D73A}"/>
            </c:ext>
          </c:extLst>
        </c:ser>
        <c:ser>
          <c:idx val="5"/>
          <c:order val="6"/>
          <c:tx>
            <c:strRef>
              <c:f>'DataStorageAll+4K+Archive'!$I$2</c:f>
              <c:strCache>
                <c:ptCount val="1"/>
                <c:pt idx="0">
                  <c:v>Video Archive Conversion to File Data TB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val>
            <c:numRef>
              <c:f>'DataStorageAll+4K+Archive'!$I$4:$I$16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810.53010000000006</c:v>
                </c:pt>
                <c:pt idx="3" formatCode="0">
                  <c:v>1621.0602000000001</c:v>
                </c:pt>
                <c:pt idx="4" formatCode="0">
                  <c:v>1621.0602000000001</c:v>
                </c:pt>
                <c:pt idx="5" formatCode="0">
                  <c:v>1621.0602000000001</c:v>
                </c:pt>
                <c:pt idx="6" formatCode="0">
                  <c:v>1621.0602000000001</c:v>
                </c:pt>
                <c:pt idx="7" formatCode="0">
                  <c:v>1621.0602000000001</c:v>
                </c:pt>
                <c:pt idx="8" formatCode="0">
                  <c:v>1621.0602000000001</c:v>
                </c:pt>
                <c:pt idx="9" formatCode="0">
                  <c:v>1621.0602000000001</c:v>
                </c:pt>
                <c:pt idx="10" formatCode="0">
                  <c:v>1621.0602000000001</c:v>
                </c:pt>
                <c:pt idx="11" formatCode="0">
                  <c:v>1621.0602000000001</c:v>
                </c:pt>
                <c:pt idx="12" formatCode="0">
                  <c:v>1621.0602000000001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54-4FAD-850A-4EC82124D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96600"/>
        <c:axId val="206897776"/>
      </c:areaChart>
      <c:areaChart>
        <c:grouping val="stacked"/>
        <c:varyColors val="0"/>
        <c:ser>
          <c:idx val="6"/>
          <c:order val="5"/>
          <c:tx>
            <c:strRef>
              <c:f>'DataStorageAll+4K+Archive'!$M$2</c:f>
              <c:strCache>
                <c:ptCount val="1"/>
                <c:pt idx="0">
                  <c:v>System Total Capacity TB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cat>
            <c:numRef>
              <c:f>'DataStorageAll+4K+Archive'!$A$4:$A$15</c:f>
              <c:numCache>
                <c:formatCode>0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'DataStorageAll+4K+Archive'!$M$4:$M$16</c:f>
              <c:numCache>
                <c:formatCode>#,##0</c:formatCode>
                <c:ptCount val="13"/>
                <c:pt idx="0">
                  <c:v>15300</c:v>
                </c:pt>
                <c:pt idx="1">
                  <c:v>15300</c:v>
                </c:pt>
                <c:pt idx="2">
                  <c:v>15300</c:v>
                </c:pt>
                <c:pt idx="3">
                  <c:v>15300</c:v>
                </c:pt>
                <c:pt idx="4">
                  <c:v>15300</c:v>
                </c:pt>
                <c:pt idx="5">
                  <c:v>36780</c:v>
                </c:pt>
                <c:pt idx="6">
                  <c:v>36780</c:v>
                </c:pt>
                <c:pt idx="7">
                  <c:v>36780</c:v>
                </c:pt>
                <c:pt idx="8">
                  <c:v>36780</c:v>
                </c:pt>
                <c:pt idx="9">
                  <c:v>36780</c:v>
                </c:pt>
                <c:pt idx="10">
                  <c:v>36780</c:v>
                </c:pt>
                <c:pt idx="11">
                  <c:v>36780</c:v>
                </c:pt>
                <c:pt idx="12">
                  <c:v>36780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54-4FAD-850A-4EC82124D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98560"/>
        <c:axId val="206898168"/>
      </c:areaChart>
      <c:catAx>
        <c:axId val="206896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7776"/>
        <c:crosses val="autoZero"/>
        <c:auto val="1"/>
        <c:lblAlgn val="ctr"/>
        <c:lblOffset val="100"/>
        <c:noMultiLvlLbl val="0"/>
      </c:catAx>
      <c:valAx>
        <c:axId val="206897776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660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5234613040828763E-2"/>
                <c:y val="6.4042553191489368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valAx>
        <c:axId val="206898168"/>
        <c:scaling>
          <c:orientation val="minMax"/>
          <c:max val="4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898560"/>
        <c:crosses val="max"/>
        <c:crossBetween val="midCat"/>
        <c:dispUnits>
          <c:builtInUnit val="thousand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 b="1"/>
                    <a:t>Petabytes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068985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06898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278992618591297E-2"/>
          <c:y val="0.8200531847912238"/>
          <c:w val="0.97035207934052237"/>
          <c:h val="0.16100656909411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17</xdr:col>
      <xdr:colOff>15240</xdr:colOff>
      <xdr:row>32</xdr:row>
      <xdr:rowOff>78740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17</xdr:col>
      <xdr:colOff>7620</xdr:colOff>
      <xdr:row>66</xdr:row>
      <xdr:rowOff>50800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15240</xdr:colOff>
      <xdr:row>2</xdr:row>
      <xdr:rowOff>152400</xdr:rowOff>
    </xdr:from>
    <xdr:to>
      <xdr:col>35</xdr:col>
      <xdr:colOff>45720</xdr:colOff>
      <xdr:row>32</xdr:row>
      <xdr:rowOff>66040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579120</xdr:colOff>
      <xdr:row>34</xdr:row>
      <xdr:rowOff>2540</xdr:rowOff>
    </xdr:from>
    <xdr:to>
      <xdr:col>35</xdr:col>
      <xdr:colOff>15240</xdr:colOff>
      <xdr:row>66</xdr:row>
      <xdr:rowOff>5080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54</xdr:col>
      <xdr:colOff>0</xdr:colOff>
      <xdr:row>3</xdr:row>
      <xdr:rowOff>30480</xdr:rowOff>
    </xdr:from>
    <xdr:to>
      <xdr:col>71</xdr:col>
      <xdr:colOff>15240</xdr:colOff>
      <xdr:row>32</xdr:row>
      <xdr:rowOff>121920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0</xdr:colOff>
      <xdr:row>33</xdr:row>
      <xdr:rowOff>177800</xdr:rowOff>
    </xdr:from>
    <xdr:to>
      <xdr:col>71</xdr:col>
      <xdr:colOff>15240</xdr:colOff>
      <xdr:row>65</xdr:row>
      <xdr:rowOff>180340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0</xdr:colOff>
      <xdr:row>2</xdr:row>
      <xdr:rowOff>167640</xdr:rowOff>
    </xdr:from>
    <xdr:to>
      <xdr:col>53</xdr:col>
      <xdr:colOff>0</xdr:colOff>
      <xdr:row>32</xdr:row>
      <xdr:rowOff>76200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0</xdr:colOff>
      <xdr:row>34</xdr:row>
      <xdr:rowOff>5080</xdr:rowOff>
    </xdr:from>
    <xdr:to>
      <xdr:col>53</xdr:col>
      <xdr:colOff>15240</xdr:colOff>
      <xdr:row>66</xdr:row>
      <xdr:rowOff>7620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71</xdr:col>
      <xdr:colOff>594360</xdr:colOff>
      <xdr:row>3</xdr:row>
      <xdr:rowOff>30480</xdr:rowOff>
    </xdr:from>
    <xdr:to>
      <xdr:col>89</xdr:col>
      <xdr:colOff>15240</xdr:colOff>
      <xdr:row>32</xdr:row>
      <xdr:rowOff>121920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579120</xdr:colOff>
      <xdr:row>33</xdr:row>
      <xdr:rowOff>157480</xdr:rowOff>
    </xdr:from>
    <xdr:to>
      <xdr:col>89</xdr:col>
      <xdr:colOff>30480</xdr:colOff>
      <xdr:row>65</xdr:row>
      <xdr:rowOff>160020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90</xdr:col>
      <xdr:colOff>15240</xdr:colOff>
      <xdr:row>2</xdr:row>
      <xdr:rowOff>167640</xdr:rowOff>
    </xdr:from>
    <xdr:to>
      <xdr:col>104</xdr:col>
      <xdr:colOff>228600</xdr:colOff>
      <xdr:row>33</xdr:row>
      <xdr:rowOff>137160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90</xdr:col>
      <xdr:colOff>22860</xdr:colOff>
      <xdr:row>33</xdr:row>
      <xdr:rowOff>175260</xdr:rowOff>
    </xdr:from>
    <xdr:to>
      <xdr:col>104</xdr:col>
      <xdr:colOff>256540</xdr:colOff>
      <xdr:row>68</xdr:row>
      <xdr:rowOff>154940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16</xdr:col>
      <xdr:colOff>579120</xdr:colOff>
      <xdr:row>121</xdr:row>
      <xdr:rowOff>106680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594360</xdr:colOff>
      <xdr:row>67</xdr:row>
      <xdr:rowOff>15240</xdr:rowOff>
    </xdr:from>
    <xdr:to>
      <xdr:col>35</xdr:col>
      <xdr:colOff>15240</xdr:colOff>
      <xdr:row>121</xdr:row>
      <xdr:rowOff>121920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36</xdr:col>
      <xdr:colOff>15240</xdr:colOff>
      <xdr:row>67</xdr:row>
      <xdr:rowOff>0</xdr:rowOff>
    </xdr:from>
    <xdr:to>
      <xdr:col>53</xdr:col>
      <xdr:colOff>45720</xdr:colOff>
      <xdr:row>121</xdr:row>
      <xdr:rowOff>106680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54</xdr:col>
      <xdr:colOff>0</xdr:colOff>
      <xdr:row>67</xdr:row>
      <xdr:rowOff>0</xdr:rowOff>
    </xdr:from>
    <xdr:to>
      <xdr:col>71</xdr:col>
      <xdr:colOff>30480</xdr:colOff>
      <xdr:row>121</xdr:row>
      <xdr:rowOff>106680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72</xdr:col>
      <xdr:colOff>0</xdr:colOff>
      <xdr:row>67</xdr:row>
      <xdr:rowOff>0</xdr:rowOff>
    </xdr:from>
    <xdr:to>
      <xdr:col>89</xdr:col>
      <xdr:colOff>30480</xdr:colOff>
      <xdr:row>121</xdr:row>
      <xdr:rowOff>106680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123</xdr:row>
      <xdr:rowOff>0</xdr:rowOff>
    </xdr:from>
    <xdr:to>
      <xdr:col>16</xdr:col>
      <xdr:colOff>594360</xdr:colOff>
      <xdr:row>174</xdr:row>
      <xdr:rowOff>91440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594360</xdr:colOff>
      <xdr:row>123</xdr:row>
      <xdr:rowOff>0</xdr:rowOff>
    </xdr:from>
    <xdr:to>
      <xdr:col>34</xdr:col>
      <xdr:colOff>579120</xdr:colOff>
      <xdr:row>174</xdr:row>
      <xdr:rowOff>91440</xdr:rowOff>
    </xdr:to>
    <xdr:graphicFrame macro="">
      <xdr:nvGraphicFramePr>
        <xdr:cNvPr id="28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36</xdr:col>
      <xdr:colOff>0</xdr:colOff>
      <xdr:row>123</xdr:row>
      <xdr:rowOff>0</xdr:rowOff>
    </xdr:from>
    <xdr:to>
      <xdr:col>52</xdr:col>
      <xdr:colOff>594360</xdr:colOff>
      <xdr:row>174</xdr:row>
      <xdr:rowOff>91440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54</xdr:col>
      <xdr:colOff>0</xdr:colOff>
      <xdr:row>123</xdr:row>
      <xdr:rowOff>0</xdr:rowOff>
    </xdr:from>
    <xdr:to>
      <xdr:col>70</xdr:col>
      <xdr:colOff>594360</xdr:colOff>
      <xdr:row>174</xdr:row>
      <xdr:rowOff>91440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72</xdr:col>
      <xdr:colOff>0</xdr:colOff>
      <xdr:row>123</xdr:row>
      <xdr:rowOff>0</xdr:rowOff>
    </xdr:from>
    <xdr:to>
      <xdr:col>88</xdr:col>
      <xdr:colOff>594360</xdr:colOff>
      <xdr:row>174</xdr:row>
      <xdr:rowOff>91440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72</xdr:col>
      <xdr:colOff>0</xdr:colOff>
      <xdr:row>177</xdr:row>
      <xdr:rowOff>0</xdr:rowOff>
    </xdr:from>
    <xdr:to>
      <xdr:col>88</xdr:col>
      <xdr:colOff>594360</xdr:colOff>
      <xdr:row>228</xdr:row>
      <xdr:rowOff>91440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18</xdr:col>
      <xdr:colOff>0</xdr:colOff>
      <xdr:row>176</xdr:row>
      <xdr:rowOff>0</xdr:rowOff>
    </xdr:from>
    <xdr:to>
      <xdr:col>34</xdr:col>
      <xdr:colOff>594360</xdr:colOff>
      <xdr:row>227</xdr:row>
      <xdr:rowOff>91440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116</xdr:row>
      <xdr:rowOff>127000</xdr:rowOff>
    </xdr:from>
    <xdr:to>
      <xdr:col>10</xdr:col>
      <xdr:colOff>0</xdr:colOff>
      <xdr:row>161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416560</xdr:colOff>
      <xdr:row>117</xdr:row>
      <xdr:rowOff>10160</xdr:rowOff>
    </xdr:from>
    <xdr:to>
      <xdr:col>22</xdr:col>
      <xdr:colOff>548640</xdr:colOff>
      <xdr:row>161</xdr:row>
      <xdr:rowOff>45720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262890</xdr:colOff>
      <xdr:row>1</xdr:row>
      <xdr:rowOff>304800</xdr:rowOff>
    </xdr:from>
    <xdr:to>
      <xdr:col>16</xdr:col>
      <xdr:colOff>68580</xdr:colOff>
      <xdr:row>10</xdr:row>
      <xdr:rowOff>327660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541020</xdr:colOff>
      <xdr:row>11</xdr:row>
      <xdr:rowOff>198120</xdr:rowOff>
    </xdr:from>
    <xdr:to>
      <xdr:col>17</xdr:col>
      <xdr:colOff>34290</xdr:colOff>
      <xdr:row>28</xdr:row>
      <xdr:rowOff>342900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487680</xdr:colOff>
      <xdr:row>29</xdr:row>
      <xdr:rowOff>198120</xdr:rowOff>
    </xdr:from>
    <xdr:to>
      <xdr:col>17</xdr:col>
      <xdr:colOff>0</xdr:colOff>
      <xdr:row>51</xdr:row>
      <xdr:rowOff>106680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137160</xdr:colOff>
      <xdr:row>29</xdr:row>
      <xdr:rowOff>220980</xdr:rowOff>
    </xdr:from>
    <xdr:to>
      <xdr:col>11</xdr:col>
      <xdr:colOff>304800</xdr:colOff>
      <xdr:row>51</xdr:row>
      <xdr:rowOff>99060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0</xdr:row>
      <xdr:rowOff>76200</xdr:rowOff>
    </xdr:from>
    <xdr:to>
      <xdr:col>12</xdr:col>
      <xdr:colOff>201930</xdr:colOff>
      <xdr:row>31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594360</xdr:colOff>
      <xdr:row>0</xdr:row>
      <xdr:rowOff>83820</xdr:rowOff>
    </xdr:from>
    <xdr:to>
      <xdr:col>25</xdr:col>
      <xdr:colOff>118110</xdr:colOff>
      <xdr:row>31</xdr:row>
      <xdr:rowOff>91440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32</xdr:row>
      <xdr:rowOff>99060</xdr:rowOff>
    </xdr:from>
    <xdr:to>
      <xdr:col>12</xdr:col>
      <xdr:colOff>186690</xdr:colOff>
      <xdr:row>63</xdr:row>
      <xdr:rowOff>106680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0.72634</cdr:x>
      <cdr:y>0.75839</cdr:y>
    </cdr:from>
    <cdr:to>
      <cdr:x>0.91355</cdr:x>
      <cdr:y>0.91141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410200" y="4305300"/>
          <a:ext cx="1394460" cy="868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/>
            <a:t>Conversion Cost</a:t>
          </a:r>
        </a:p>
      </cdr:txBody>
    </cdr:sp>
  </cdr:relSizeAnchor>
  <cdr:relSizeAnchor xmlns:cdr="http://schemas.openxmlformats.org/drawingml/2006/chartDrawing">
    <cdr:from>
      <cdr:x>0.2179</cdr:x>
      <cdr:y>0.12081</cdr:y>
    </cdr:from>
    <cdr:to>
      <cdr:x>0.41637</cdr:x>
      <cdr:y>0.22416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623060" y="685800"/>
          <a:ext cx="1478280" cy="586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800"/>
            <a:t>Tape Cost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7" sqref="C7"/>
    </sheetView>
  </sheetViews>
  <sheetFormatPr defaultRowHeight="14.4" x14ac:dyDescent="0.3"/>
  <cols>
    <col min="1" max="1" width="56.6640625" style="98" bestFit="1" customWidth="1"/>
    <col min="2" max="2" width="38.77734375" style="98" bestFit="1" customWidth="1"/>
    <col min="3" max="3" width="44.33203125" style="98" bestFit="1" customWidth="1"/>
    <col min="4" max="16384" width="8.88671875" style="98"/>
  </cols>
  <sheetData>
    <row r="1" spans="1:3" ht="15" thickBot="1" x14ac:dyDescent="0.35">
      <c r="A1" s="115" t="s">
        <v>231</v>
      </c>
      <c r="B1" s="116" t="s">
        <v>232</v>
      </c>
      <c r="C1" s="117" t="s">
        <v>233</v>
      </c>
    </row>
    <row r="2" spans="1:3" x14ac:dyDescent="0.3">
      <c r="A2" s="133" t="s">
        <v>234</v>
      </c>
      <c r="B2" s="99" t="s">
        <v>238</v>
      </c>
      <c r="C2" s="101" t="s">
        <v>240</v>
      </c>
    </row>
    <row r="3" spans="1:3" ht="28.8" x14ac:dyDescent="0.3">
      <c r="A3" s="134"/>
      <c r="B3" s="29" t="s">
        <v>239</v>
      </c>
      <c r="C3" s="112" t="s">
        <v>241</v>
      </c>
    </row>
    <row r="4" spans="1:3" ht="29.4" thickBot="1" x14ac:dyDescent="0.35">
      <c r="A4" s="135"/>
      <c r="B4" s="113" t="s">
        <v>247</v>
      </c>
      <c r="C4" s="114"/>
    </row>
    <row r="5" spans="1:3" ht="28.8" x14ac:dyDescent="0.3">
      <c r="A5" s="131" t="s">
        <v>235</v>
      </c>
      <c r="B5" s="99" t="s">
        <v>242</v>
      </c>
      <c r="C5" s="101" t="s">
        <v>243</v>
      </c>
    </row>
    <row r="6" spans="1:3" ht="43.8" thickBot="1" x14ac:dyDescent="0.35">
      <c r="A6" s="132"/>
      <c r="B6" s="113" t="s">
        <v>247</v>
      </c>
      <c r="C6" s="114" t="s">
        <v>253</v>
      </c>
    </row>
    <row r="7" spans="1:3" ht="43.2" x14ac:dyDescent="0.3">
      <c r="A7" s="133" t="s">
        <v>237</v>
      </c>
      <c r="B7" s="99" t="s">
        <v>244</v>
      </c>
      <c r="C7" s="101" t="s">
        <v>246</v>
      </c>
    </row>
    <row r="8" spans="1:3" ht="28.8" x14ac:dyDescent="0.3">
      <c r="A8" s="134"/>
      <c r="B8" s="29" t="s">
        <v>239</v>
      </c>
      <c r="C8" s="112" t="s">
        <v>248</v>
      </c>
    </row>
    <row r="9" spans="1:3" ht="29.4" thickBot="1" x14ac:dyDescent="0.35">
      <c r="A9" s="135"/>
      <c r="B9" s="113" t="s">
        <v>245</v>
      </c>
      <c r="C9" s="114"/>
    </row>
    <row r="10" spans="1:3" ht="43.2" x14ac:dyDescent="0.3">
      <c r="A10" s="133" t="s">
        <v>236</v>
      </c>
      <c r="B10" s="99" t="s">
        <v>251</v>
      </c>
      <c r="C10" s="101" t="s">
        <v>249</v>
      </c>
    </row>
    <row r="11" spans="1:3" ht="28.8" x14ac:dyDescent="0.3">
      <c r="A11" s="136"/>
      <c r="B11" s="29" t="s">
        <v>252</v>
      </c>
      <c r="C11" s="112"/>
    </row>
    <row r="12" spans="1:3" ht="29.4" thickBot="1" x14ac:dyDescent="0.35">
      <c r="A12" s="137"/>
      <c r="B12" s="113" t="s">
        <v>247</v>
      </c>
      <c r="C12" s="114"/>
    </row>
  </sheetData>
  <mergeCells count="4">
    <mergeCell ref="A5:A6"/>
    <mergeCell ref="A7:A9"/>
    <mergeCell ref="A10:A12"/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"/>
  <sheetViews>
    <sheetView topLeftCell="AW1" zoomScale="50" zoomScaleNormal="50" workbookViewId="0">
      <selection activeCell="AJ79" sqref="AJ79"/>
    </sheetView>
  </sheetViews>
  <sheetFormatPr defaultRowHeight="14.4" x14ac:dyDescent="0.3"/>
  <sheetData>
    <row r="1" spans="1:102" ht="24" thickBot="1" x14ac:dyDescent="0.5">
      <c r="A1" s="97" t="s">
        <v>179</v>
      </c>
      <c r="S1" s="97" t="s">
        <v>178</v>
      </c>
      <c r="AK1" s="97" t="s">
        <v>180</v>
      </c>
      <c r="BD1" s="97" t="s">
        <v>181</v>
      </c>
      <c r="BW1" s="97" t="s">
        <v>182</v>
      </c>
      <c r="CQ1" s="97" t="s">
        <v>184</v>
      </c>
      <c r="CU1" s="97" t="s">
        <v>190</v>
      </c>
      <c r="CX1" s="105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zoomScale="75" zoomScaleNormal="75" workbookViewId="0">
      <selection activeCell="F27" sqref="F27"/>
    </sheetView>
  </sheetViews>
  <sheetFormatPr defaultRowHeight="14.4" x14ac:dyDescent="0.3"/>
  <cols>
    <col min="1" max="1" width="8.77734375" style="11" customWidth="1"/>
    <col min="2" max="4" width="12.77734375" style="6" customWidth="1"/>
    <col min="5" max="5" width="10.6640625" style="6" customWidth="1"/>
    <col min="6" max="6" width="10.44140625" style="6" customWidth="1"/>
    <col min="7" max="7" width="11.5546875" style="6" customWidth="1"/>
    <col min="8" max="8" width="13.5546875" style="6" customWidth="1"/>
    <col min="9" max="9" width="12.109375" style="6" customWidth="1"/>
    <col min="10" max="10" width="13.21875" style="6" customWidth="1"/>
    <col min="11" max="11" width="10.33203125" style="6" customWidth="1"/>
    <col min="12" max="12" width="10.44140625" style="10" customWidth="1"/>
    <col min="13" max="13" width="12.33203125" style="6" customWidth="1"/>
    <col min="14" max="16" width="10.6640625" customWidth="1"/>
    <col min="17" max="17" width="11.33203125" customWidth="1"/>
    <col min="18" max="18" width="14.5546875" customWidth="1"/>
    <col min="19" max="19" width="13.33203125" style="6" customWidth="1"/>
    <col min="20" max="20" width="13.44140625" style="6" customWidth="1"/>
    <col min="21" max="21" width="14.21875" style="6" customWidth="1"/>
    <col min="22" max="22" width="13" style="6" customWidth="1"/>
    <col min="23" max="23" width="16.44140625" style="6" customWidth="1"/>
    <col min="24" max="24" width="14.6640625" style="6" customWidth="1"/>
    <col min="25" max="25" width="15.5546875" style="6" customWidth="1"/>
    <col min="26" max="26" width="10.77734375" style="6" customWidth="1"/>
    <col min="27" max="27" width="11.5546875" style="6" customWidth="1"/>
    <col min="28" max="16384" width="8.88671875" style="6"/>
  </cols>
  <sheetData>
    <row r="1" spans="1:27" ht="15" thickBot="1" x14ac:dyDescent="0.35">
      <c r="A1" s="138" t="s">
        <v>148</v>
      </c>
      <c r="B1" s="139"/>
      <c r="C1" s="140"/>
      <c r="F1" s="70"/>
      <c r="G1" s="70"/>
      <c r="H1" s="70"/>
      <c r="K1" s="70"/>
      <c r="L1" s="70"/>
      <c r="M1" s="70"/>
      <c r="Q1" s="6"/>
      <c r="S1"/>
    </row>
    <row r="2" spans="1:27" ht="129.6" x14ac:dyDescent="0.3">
      <c r="A2" s="11" t="s">
        <v>107</v>
      </c>
      <c r="B2" s="6" t="s">
        <v>207</v>
      </c>
      <c r="C2" s="6" t="s">
        <v>221</v>
      </c>
      <c r="D2" s="6" t="s">
        <v>222</v>
      </c>
      <c r="E2" s="84" t="s">
        <v>223</v>
      </c>
      <c r="F2" s="70" t="s">
        <v>224</v>
      </c>
      <c r="G2" s="84" t="s">
        <v>212</v>
      </c>
      <c r="H2" s="84" t="s">
        <v>213</v>
      </c>
      <c r="I2" s="84" t="s">
        <v>214</v>
      </c>
      <c r="J2" s="84" t="s">
        <v>215</v>
      </c>
      <c r="K2" s="84" t="s">
        <v>216</v>
      </c>
      <c r="L2" s="84" t="s">
        <v>217</v>
      </c>
      <c r="M2" s="84" t="s">
        <v>218</v>
      </c>
      <c r="N2" s="84" t="s">
        <v>219</v>
      </c>
      <c r="O2" s="84" t="s">
        <v>220</v>
      </c>
      <c r="P2" s="28" t="s">
        <v>202</v>
      </c>
      <c r="Q2" s="28" t="s">
        <v>201</v>
      </c>
      <c r="R2" s="28" t="s">
        <v>203</v>
      </c>
      <c r="S2" s="28" t="s">
        <v>204</v>
      </c>
      <c r="T2" s="28" t="s">
        <v>205</v>
      </c>
      <c r="U2" s="28" t="s">
        <v>206</v>
      </c>
      <c r="V2" s="84" t="s">
        <v>146</v>
      </c>
      <c r="W2" s="84" t="s">
        <v>177</v>
      </c>
      <c r="X2" s="84" t="s">
        <v>211</v>
      </c>
      <c r="Y2" s="84" t="s">
        <v>210</v>
      </c>
      <c r="Z2" s="84" t="s">
        <v>209</v>
      </c>
      <c r="AA2" s="84" t="s">
        <v>208</v>
      </c>
    </row>
    <row r="3" spans="1:27" s="7" customFormat="1" x14ac:dyDescent="0.3">
      <c r="A3" s="23">
        <v>2017</v>
      </c>
      <c r="C3" s="7">
        <v>0</v>
      </c>
      <c r="D3" s="7">
        <v>0</v>
      </c>
      <c r="E3" s="8">
        <v>0</v>
      </c>
      <c r="F3" s="7">
        <v>0</v>
      </c>
      <c r="G3" s="84">
        <v>0</v>
      </c>
      <c r="H3" s="84">
        <v>0</v>
      </c>
      <c r="I3" s="84">
        <v>0</v>
      </c>
      <c r="J3" s="84">
        <v>0</v>
      </c>
      <c r="K3" s="84">
        <v>0</v>
      </c>
      <c r="L3" s="84">
        <v>0</v>
      </c>
      <c r="M3" s="84">
        <v>0</v>
      </c>
      <c r="O3" s="84">
        <v>0</v>
      </c>
      <c r="Q3" s="84">
        <v>0</v>
      </c>
      <c r="R3" s="84">
        <v>0</v>
      </c>
      <c r="S3" s="84"/>
      <c r="T3" s="84"/>
      <c r="U3" s="3"/>
      <c r="V3" s="84">
        <v>0</v>
      </c>
      <c r="W3" s="84">
        <v>0</v>
      </c>
      <c r="X3" s="10"/>
      <c r="Y3" s="84"/>
      <c r="Z3" s="84"/>
      <c r="AA3" s="84"/>
    </row>
    <row r="4" spans="1:27" x14ac:dyDescent="0.3">
      <c r="A4" s="23">
        <v>2018</v>
      </c>
      <c r="B4" s="6">
        <v>180</v>
      </c>
      <c r="C4" s="6">
        <v>180</v>
      </c>
      <c r="D4" s="6">
        <v>0</v>
      </c>
      <c r="E4" s="8">
        <v>0</v>
      </c>
      <c r="F4" s="6">
        <v>0</v>
      </c>
      <c r="G4" s="84">
        <v>0</v>
      </c>
      <c r="H4" s="84">
        <v>20</v>
      </c>
      <c r="I4" s="84">
        <v>0</v>
      </c>
      <c r="J4" s="84">
        <v>350</v>
      </c>
      <c r="K4" s="8">
        <v>3912</v>
      </c>
      <c r="L4" s="8">
        <f t="shared" ref="L4:L16" si="0">SUM(C4,D4,H4,I4,J4,K4)</f>
        <v>4462</v>
      </c>
      <c r="M4" s="12">
        <f>StorageCostCalculations!$F$7</f>
        <v>15300</v>
      </c>
      <c r="N4" s="8">
        <f>StorageCostCalculations!$F$7-(SUM(B4,H4,I4,J4,K4))</f>
        <v>10838</v>
      </c>
      <c r="O4" s="8">
        <f>StorageCostCalculations!$F$7-L4</f>
        <v>10838</v>
      </c>
      <c r="P4" s="28">
        <f t="shared" ref="P4:R10" si="1">((B4-B3)*$L$21)+(B4*($K$23+$K$24))</f>
        <v>7069.552941176471</v>
      </c>
      <c r="Q4" s="28">
        <f t="shared" si="1"/>
        <v>7069.552941176471</v>
      </c>
      <c r="R4" s="28">
        <f t="shared" si="1"/>
        <v>0</v>
      </c>
      <c r="S4" s="28">
        <f>((D4-D3)*$K$21)+((E4-E3)*$K$21)+(D4*$K$24)+(E4*$K$23)</f>
        <v>0</v>
      </c>
      <c r="T4" s="28">
        <f>((F4-F3)*$L$21)+(F4*($K$23+$K$24))</f>
        <v>0</v>
      </c>
      <c r="U4" s="3">
        <f>((G4-G3)*$L$21)+(G4*($K$23+$K$24))</f>
        <v>0</v>
      </c>
      <c r="V4" s="28">
        <f>((H4-H3)*$L$21)+(H4*($K$23+$K$24))</f>
        <v>785.50588235294117</v>
      </c>
      <c r="W4" s="28">
        <f>((I4-I3)*$L$21)+(I4*($K$23+$K$24))</f>
        <v>0</v>
      </c>
      <c r="X4" s="10">
        <f t="shared" ref="X4:X16" si="2">SUM(Q4,R4,V4,W4)</f>
        <v>7855.0588235294126</v>
      </c>
      <c r="Y4" s="10">
        <f t="shared" ref="Y4:Y16" si="3">SUM(Q4,S4,V4,W4)</f>
        <v>7855.0588235294126</v>
      </c>
      <c r="Z4" s="10">
        <f t="shared" ref="Z4:Z16" si="4">SUM(Q4,T4,V4,W4)</f>
        <v>7855.0588235294126</v>
      </c>
      <c r="AA4" s="10">
        <f t="shared" ref="AA4:AA16" si="5">SUM(Q4,U4,V4,W4)</f>
        <v>7855.0588235294126</v>
      </c>
    </row>
    <row r="5" spans="1:27" x14ac:dyDescent="0.3">
      <c r="A5" s="23">
        <v>2019</v>
      </c>
      <c r="B5" s="8">
        <f>B4+$F$20</f>
        <v>506.70000000000005</v>
      </c>
      <c r="C5" s="8">
        <f>F20</f>
        <v>326.70000000000005</v>
      </c>
      <c r="D5" s="8">
        <v>0</v>
      </c>
      <c r="E5" s="8">
        <v>0</v>
      </c>
      <c r="F5" s="6">
        <v>0</v>
      </c>
      <c r="G5" s="84">
        <v>0</v>
      </c>
      <c r="H5" s="8">
        <f t="shared" ref="H5:H16" si="6">H4+$E$23</f>
        <v>44.75</v>
      </c>
      <c r="I5" s="84">
        <v>0</v>
      </c>
      <c r="J5" s="8">
        <f t="shared" ref="J5:J16" si="7">J4+$E$24</f>
        <v>480</v>
      </c>
      <c r="K5" s="8">
        <v>3912</v>
      </c>
      <c r="L5" s="8">
        <f t="shared" si="0"/>
        <v>4763.45</v>
      </c>
      <c r="M5" s="12">
        <f>StorageCostCalculations!$F$7</f>
        <v>15300</v>
      </c>
      <c r="N5" s="8">
        <f>StorageCostCalculations!$F$7-(SUM(B5,H5,I5,J5,K5))</f>
        <v>10356.549999999999</v>
      </c>
      <c r="O5" s="8">
        <f>StorageCostCalculations!$F$7-L5</f>
        <v>10536.55</v>
      </c>
      <c r="P5" s="28">
        <f t="shared" si="1"/>
        <v>15146.991529411767</v>
      </c>
      <c r="Q5" s="28">
        <f t="shared" si="1"/>
        <v>8077.4385882352963</v>
      </c>
      <c r="R5" s="28">
        <f t="shared" si="1"/>
        <v>0</v>
      </c>
      <c r="S5" s="28">
        <f>((D5-D4)*$K$21)+((E5-E4)*$K$21)+(D5*$K$24)+(E5*$K$23)+((D5-D4)*((100%-$D$32)*ConvertingVideoArchive!$B$24))</f>
        <v>0</v>
      </c>
      <c r="T5" s="28">
        <f t="shared" ref="T5:T10" si="8">((F5-F4)*$L$21)+(F5*($K$23+$K$24))</f>
        <v>0</v>
      </c>
      <c r="U5" s="110">
        <f t="shared" ref="U5:U10" si="9">((D5-D4)*$K$21)+((G5-G4)*$K$21)+(D5*$K$24)+(G5*$K$23)</f>
        <v>0</v>
      </c>
      <c r="V5" s="28">
        <f t="shared" ref="V5:W10" si="10">((H5-H4)*$L$21)+(H5*($K$23+$K$24))</f>
        <v>1229.369411764706</v>
      </c>
      <c r="W5" s="28">
        <f t="shared" si="10"/>
        <v>0</v>
      </c>
      <c r="X5" s="10">
        <f t="shared" si="2"/>
        <v>9306.8080000000027</v>
      </c>
      <c r="Y5" s="10">
        <f t="shared" si="3"/>
        <v>9306.8080000000027</v>
      </c>
      <c r="Z5" s="10">
        <f t="shared" si="4"/>
        <v>9306.8080000000027</v>
      </c>
      <c r="AA5" s="10">
        <f t="shared" si="5"/>
        <v>9306.8080000000027</v>
      </c>
    </row>
    <row r="6" spans="1:27" x14ac:dyDescent="0.3">
      <c r="A6" s="23">
        <v>2020</v>
      </c>
      <c r="B6" s="8">
        <f t="shared" ref="B6:B16" si="11">B5+$F$20</f>
        <v>833.40000000000009</v>
      </c>
      <c r="C6" s="8">
        <f>C5+$F$20</f>
        <v>653.40000000000009</v>
      </c>
      <c r="D6" s="8">
        <f t="shared" ref="D6:D16" si="12">D5+$F$22</f>
        <v>1399.2</v>
      </c>
      <c r="E6" s="8">
        <f t="shared" ref="E6:E16" si="13">(E5+($D$32*$F$22)+((100%-$D$32)*$F$21))</f>
        <v>854.40000000000009</v>
      </c>
      <c r="F6" s="8">
        <f t="shared" ref="F6:F16" si="14">(F5+($D$32*$F$22)+((100%-$D$32)*$F$21))</f>
        <v>854.40000000000009</v>
      </c>
      <c r="G6" s="8">
        <f t="shared" ref="G6:G16" si="15">(G5+($D$32*$F$22)+((100%-$D$32)*($D$22*$D$29)))</f>
        <v>381.6</v>
      </c>
      <c r="H6" s="8">
        <f t="shared" si="6"/>
        <v>69.5</v>
      </c>
      <c r="I6" s="8">
        <f>ConvertingVideoArchive!$D$7/2</f>
        <v>810.53010000000006</v>
      </c>
      <c r="J6" s="8">
        <f t="shared" si="7"/>
        <v>610</v>
      </c>
      <c r="K6" s="8">
        <v>3912</v>
      </c>
      <c r="L6" s="8">
        <f t="shared" si="0"/>
        <v>7454.6301000000003</v>
      </c>
      <c r="M6" s="12">
        <f>StorageCostCalculations!$F$7</f>
        <v>15300</v>
      </c>
      <c r="N6" s="8">
        <f>StorageCostCalculations!$F$7-(SUM(B6,H6,I6,J6,K6))</f>
        <v>9064.5699000000004</v>
      </c>
      <c r="O6" s="8">
        <f>StorageCostCalculations!$F$7-L6</f>
        <v>7845.3698999999997</v>
      </c>
      <c r="P6" s="28">
        <f t="shared" si="1"/>
        <v>19350.08311764706</v>
      </c>
      <c r="Q6" s="28">
        <f t="shared" si="1"/>
        <v>17034.33017647059</v>
      </c>
      <c r="R6" s="28">
        <f t="shared" si="1"/>
        <v>54953.991529411767</v>
      </c>
      <c r="S6" s="28">
        <f>((D6-D5)*$K$21)+((E6-E5)*$K$21)+(D6*$K$24)+(E6*$K$23)+((D6-D5)*((100%-$D$32)*ConvertingVideoArchive!$B$24))</f>
        <v>51865.319294117653</v>
      </c>
      <c r="T6" s="28">
        <f t="shared" si="8"/>
        <v>33556.811294117651</v>
      </c>
      <c r="U6" s="110">
        <f t="shared" si="9"/>
        <v>29065.948235294116</v>
      </c>
      <c r="V6" s="28">
        <f t="shared" si="10"/>
        <v>1547.7854411764706</v>
      </c>
      <c r="W6" s="28">
        <f t="shared" si="10"/>
        <v>31833.808068705883</v>
      </c>
      <c r="X6" s="10">
        <f t="shared" si="2"/>
        <v>105369.9152157647</v>
      </c>
      <c r="Y6" s="10">
        <f t="shared" si="3"/>
        <v>102281.2429804706</v>
      </c>
      <c r="Z6" s="10">
        <f t="shared" si="4"/>
        <v>83972.734980470588</v>
      </c>
      <c r="AA6" s="10">
        <f t="shared" si="5"/>
        <v>79481.871921647064</v>
      </c>
    </row>
    <row r="7" spans="1:27" x14ac:dyDescent="0.3">
      <c r="A7" s="23">
        <v>2021</v>
      </c>
      <c r="B7" s="8">
        <f t="shared" si="11"/>
        <v>1160.1000000000001</v>
      </c>
      <c r="C7" s="8">
        <f>C6</f>
        <v>653.40000000000009</v>
      </c>
      <c r="D7" s="8">
        <f t="shared" si="12"/>
        <v>2798.4</v>
      </c>
      <c r="E7" s="8">
        <f t="shared" si="13"/>
        <v>1708.8000000000002</v>
      </c>
      <c r="F7" s="8">
        <f t="shared" si="14"/>
        <v>1708.8000000000002</v>
      </c>
      <c r="G7" s="8">
        <f t="shared" si="15"/>
        <v>763.2</v>
      </c>
      <c r="H7" s="8">
        <f t="shared" si="6"/>
        <v>94.25</v>
      </c>
      <c r="I7" s="8">
        <f>ConvertingVideoArchive!$D$7</f>
        <v>1621.0602000000001</v>
      </c>
      <c r="J7" s="8">
        <f t="shared" si="7"/>
        <v>740</v>
      </c>
      <c r="K7" s="8">
        <v>3912</v>
      </c>
      <c r="L7" s="8">
        <f t="shared" si="0"/>
        <v>9819.1101999999992</v>
      </c>
      <c r="M7" s="12">
        <f>StorageCostCalculations!$F$7</f>
        <v>15300</v>
      </c>
      <c r="N7" s="8">
        <f>StorageCostCalculations!$F$7-(SUM(B7,H7,I7,J7,K7))</f>
        <v>7772.5897999999997</v>
      </c>
      <c r="O7" s="8">
        <f>StorageCostCalculations!$F$7-L7</f>
        <v>5480.8898000000008</v>
      </c>
      <c r="P7" s="28">
        <f t="shared" si="1"/>
        <v>23553.174705882353</v>
      </c>
      <c r="Q7" s="28">
        <f t="shared" si="1"/>
        <v>8406.1831764705894</v>
      </c>
      <c r="R7" s="28">
        <f t="shared" si="1"/>
        <v>72955.111058823531</v>
      </c>
      <c r="S7" s="28">
        <f>((D7-D6)*$K$21)+((E7-E6)*$K$21)+(D7*$K$24)+(E7*$K$23)+((D7-D6)*((100%-$D$32)*ConvertingVideoArchive!$B$24))</f>
        <v>63200.650588235301</v>
      </c>
      <c r="T7" s="28">
        <f t="shared" si="8"/>
        <v>44548.918588235298</v>
      </c>
      <c r="U7" s="110">
        <f t="shared" si="9"/>
        <v>34616.432470588232</v>
      </c>
      <c r="V7" s="28">
        <f t="shared" si="10"/>
        <v>1866.2014705882352</v>
      </c>
      <c r="W7" s="28">
        <f t="shared" si="10"/>
        <v>42261.516196411765</v>
      </c>
      <c r="X7" s="10">
        <f t="shared" si="2"/>
        <v>125489.01190229412</v>
      </c>
      <c r="Y7" s="10">
        <f t="shared" si="3"/>
        <v>115734.55143170588</v>
      </c>
      <c r="Z7" s="10">
        <f t="shared" si="4"/>
        <v>97082.819431705895</v>
      </c>
      <c r="AA7" s="10">
        <f t="shared" si="5"/>
        <v>87150.333314058807</v>
      </c>
    </row>
    <row r="8" spans="1:27" x14ac:dyDescent="0.3">
      <c r="A8" s="23">
        <v>2022</v>
      </c>
      <c r="B8" s="8">
        <f t="shared" si="11"/>
        <v>1486.8000000000002</v>
      </c>
      <c r="C8" s="8">
        <f t="shared" ref="C8:C16" si="16">C7</f>
        <v>653.40000000000009</v>
      </c>
      <c r="D8" s="8">
        <f t="shared" si="12"/>
        <v>4197.6000000000004</v>
      </c>
      <c r="E8" s="8">
        <f t="shared" si="13"/>
        <v>2563.2000000000003</v>
      </c>
      <c r="F8" s="8">
        <f t="shared" si="14"/>
        <v>2563.2000000000003</v>
      </c>
      <c r="G8" s="8">
        <f>(G7+($D$32*$F$22)+((100%-$D$32)*($D$22*$D$29)))</f>
        <v>1144.8</v>
      </c>
      <c r="H8" s="8">
        <f t="shared" si="6"/>
        <v>119</v>
      </c>
      <c r="I8" s="8">
        <f>ConvertingVideoArchive!$D$7</f>
        <v>1621.0602000000001</v>
      </c>
      <c r="J8" s="8">
        <f t="shared" si="7"/>
        <v>870</v>
      </c>
      <c r="K8" s="8">
        <v>3912</v>
      </c>
      <c r="L8" s="8">
        <f t="shared" si="0"/>
        <v>11373.0602</v>
      </c>
      <c r="M8" s="12">
        <f>StorageCostCalculations!$F$7</f>
        <v>15300</v>
      </c>
      <c r="N8" s="8">
        <f>StorageCostCalculations!$F$7-(SUM(B8,H8,I8,J8,K8))</f>
        <v>7291.1397999999999</v>
      </c>
      <c r="O8" s="8">
        <f>StorageCostCalculations!$F$7-L8</f>
        <v>3926.9398000000001</v>
      </c>
      <c r="P8" s="28">
        <f t="shared" si="1"/>
        <v>27756.26629411765</v>
      </c>
      <c r="Q8" s="28">
        <f t="shared" si="1"/>
        <v>8406.1831764705894</v>
      </c>
      <c r="R8" s="28">
        <f t="shared" si="1"/>
        <v>90956.23058823531</v>
      </c>
      <c r="S8" s="28">
        <f>((D8-D7)*$K$21)+((E8-E7)*$K$21)+(D8*$K$24)+(E8*$K$23)+((D8-D7)*((100%-$D$32)*ConvertingVideoArchive!$B$24))</f>
        <v>74535.981882352949</v>
      </c>
      <c r="T8" s="28">
        <f t="shared" si="8"/>
        <v>55541.025882352944</v>
      </c>
      <c r="U8" s="110">
        <f t="shared" si="9"/>
        <v>40166.916705882359</v>
      </c>
      <c r="V8" s="28">
        <f t="shared" si="10"/>
        <v>2184.6175000000003</v>
      </c>
      <c r="W8" s="28">
        <f t="shared" si="10"/>
        <v>20855.416255411765</v>
      </c>
      <c r="X8" s="10">
        <f t="shared" si="2"/>
        <v>122402.44752011767</v>
      </c>
      <c r="Y8" s="10">
        <f t="shared" si="3"/>
        <v>105982.19881423529</v>
      </c>
      <c r="Z8" s="10">
        <f t="shared" si="4"/>
        <v>86987.242814235287</v>
      </c>
      <c r="AA8" s="10">
        <f t="shared" si="5"/>
        <v>71613.133637764724</v>
      </c>
    </row>
    <row r="9" spans="1:27" x14ac:dyDescent="0.3">
      <c r="A9" s="23">
        <v>2023</v>
      </c>
      <c r="B9" s="8">
        <f t="shared" si="11"/>
        <v>1813.5000000000002</v>
      </c>
      <c r="C9" s="8">
        <f t="shared" si="16"/>
        <v>653.40000000000009</v>
      </c>
      <c r="D9" s="8">
        <f t="shared" si="12"/>
        <v>5596.8</v>
      </c>
      <c r="E9" s="8">
        <f t="shared" si="13"/>
        <v>3417.6000000000004</v>
      </c>
      <c r="F9" s="8">
        <f t="shared" si="14"/>
        <v>3417.6000000000004</v>
      </c>
      <c r="G9" s="8">
        <f t="shared" si="15"/>
        <v>1526.3999999999999</v>
      </c>
      <c r="H9" s="8">
        <f t="shared" si="6"/>
        <v>143.75</v>
      </c>
      <c r="I9" s="8">
        <f>ConvertingVideoArchive!$D$7</f>
        <v>1621.0602000000001</v>
      </c>
      <c r="J9" s="8">
        <f t="shared" si="7"/>
        <v>1000</v>
      </c>
      <c r="K9" s="8">
        <v>3912</v>
      </c>
      <c r="L9" s="8">
        <f t="shared" si="0"/>
        <v>12927.010200000001</v>
      </c>
      <c r="M9" s="12">
        <f>StorageCostCalculations!$F$17</f>
        <v>36780</v>
      </c>
      <c r="N9" s="8">
        <f>StorageCostCalculations!$F$7-(SUM(B9,H9,I9,J9,K9))</f>
        <v>6809.6898000000001</v>
      </c>
      <c r="O9" s="8">
        <f>(StorageCostCalculations!$F$7+StorageCostCalculations!$F$14)-L9</f>
        <v>23852.989799999999</v>
      </c>
      <c r="P9" s="28">
        <f t="shared" si="1"/>
        <v>31959.357882352946</v>
      </c>
      <c r="Q9" s="28">
        <f t="shared" si="1"/>
        <v>8406.1831764705894</v>
      </c>
      <c r="R9" s="28">
        <f t="shared" si="1"/>
        <v>108957.35011764706</v>
      </c>
      <c r="S9" s="28">
        <f>((D9-D8)*$K$21)+((E9-E8)*$K$21)+(D9*$K$24)+(E9*$K$23)+((D9-D8)*((100%-$D$32)*ConvertingVideoArchive!$B$24))</f>
        <v>85871.31317647059</v>
      </c>
      <c r="T9" s="28">
        <f t="shared" si="8"/>
        <v>66533.133176470597</v>
      </c>
      <c r="U9" s="110">
        <f t="shared" si="9"/>
        <v>45717.400941176464</v>
      </c>
      <c r="V9" s="28">
        <f t="shared" si="10"/>
        <v>2503.0335294117649</v>
      </c>
      <c r="W9" s="28">
        <f t="shared" si="10"/>
        <v>20855.416255411765</v>
      </c>
      <c r="X9" s="10">
        <f t="shared" si="2"/>
        <v>140721.98307894118</v>
      </c>
      <c r="Y9" s="10">
        <f t="shared" si="3"/>
        <v>117635.94613776471</v>
      </c>
      <c r="Z9" s="10">
        <f t="shared" si="4"/>
        <v>98297.766137764716</v>
      </c>
      <c r="AA9" s="10">
        <f t="shared" si="5"/>
        <v>77482.03390247059</v>
      </c>
    </row>
    <row r="10" spans="1:27" ht="15" thickBot="1" x14ac:dyDescent="0.35">
      <c r="A10" s="87">
        <v>2024</v>
      </c>
      <c r="B10" s="88">
        <f t="shared" si="11"/>
        <v>2140.2000000000003</v>
      </c>
      <c r="C10" s="88">
        <f t="shared" si="16"/>
        <v>653.40000000000009</v>
      </c>
      <c r="D10" s="88">
        <f t="shared" si="12"/>
        <v>6996</v>
      </c>
      <c r="E10" s="88">
        <f t="shared" si="13"/>
        <v>4272.0000000000009</v>
      </c>
      <c r="F10" s="88">
        <f t="shared" si="14"/>
        <v>4272.0000000000009</v>
      </c>
      <c r="G10" s="88">
        <f t="shared" si="15"/>
        <v>1907.9999999999998</v>
      </c>
      <c r="H10" s="88">
        <f t="shared" si="6"/>
        <v>168.5</v>
      </c>
      <c r="I10" s="88">
        <f>ConvertingVideoArchive!$D$7</f>
        <v>1621.0602000000001</v>
      </c>
      <c r="J10" s="88">
        <f t="shared" si="7"/>
        <v>1130</v>
      </c>
      <c r="K10" s="88">
        <v>3912</v>
      </c>
      <c r="L10" s="88">
        <f t="shared" si="0"/>
        <v>14480.9602</v>
      </c>
      <c r="M10" s="89">
        <f>StorageCostCalculations!$F$17</f>
        <v>36780</v>
      </c>
      <c r="N10" s="8">
        <f>StorageCostCalculations!$F$7-(SUM(B10,H10,I10,J10,K10))</f>
        <v>6328.2397999999994</v>
      </c>
      <c r="O10" s="88">
        <f>(StorageCostCalculations!$F$7+StorageCostCalculations!$F$14)-L10</f>
        <v>22299.039799999999</v>
      </c>
      <c r="P10" s="28">
        <f t="shared" si="1"/>
        <v>36162.449470588239</v>
      </c>
      <c r="Q10" s="90">
        <f t="shared" si="1"/>
        <v>8406.1831764705894</v>
      </c>
      <c r="R10" s="90">
        <f t="shared" si="1"/>
        <v>126958.46964705881</v>
      </c>
      <c r="S10" s="90">
        <f>((D10-D9)*$K$21)+((E10-E9)*$K$21)+(D10*$K$24)+(E10*$K$23)+((D10-D9)*((100%-$D$32)*ConvertingVideoArchive!$B$24))</f>
        <v>97206.64447058826</v>
      </c>
      <c r="T10" s="90">
        <f t="shared" si="8"/>
        <v>77525.240470588265</v>
      </c>
      <c r="U10" s="92">
        <f t="shared" si="9"/>
        <v>51267.885176470576</v>
      </c>
      <c r="V10" s="90">
        <f t="shared" si="10"/>
        <v>2821.4495588235295</v>
      </c>
      <c r="W10" s="90">
        <f t="shared" si="10"/>
        <v>20855.416255411765</v>
      </c>
      <c r="X10" s="91">
        <f t="shared" si="2"/>
        <v>159041.51863776468</v>
      </c>
      <c r="Y10" s="91">
        <f t="shared" si="3"/>
        <v>129289.69346129414</v>
      </c>
      <c r="Z10" s="91">
        <f t="shared" si="4"/>
        <v>109608.28946129415</v>
      </c>
      <c r="AA10" s="91">
        <f t="shared" si="5"/>
        <v>83350.934167176456</v>
      </c>
    </row>
    <row r="11" spans="1:27" ht="15" thickTop="1" x14ac:dyDescent="0.3">
      <c r="A11" s="23">
        <v>2025</v>
      </c>
      <c r="B11" s="8">
        <f t="shared" si="11"/>
        <v>2466.9000000000005</v>
      </c>
      <c r="C11" s="8">
        <f t="shared" si="16"/>
        <v>653.40000000000009</v>
      </c>
      <c r="D11" s="8">
        <f t="shared" si="12"/>
        <v>8395.2000000000007</v>
      </c>
      <c r="E11" s="8">
        <f t="shared" si="13"/>
        <v>5126.4000000000015</v>
      </c>
      <c r="F11" s="8">
        <f t="shared" si="14"/>
        <v>5126.4000000000015</v>
      </c>
      <c r="G11" s="8">
        <f t="shared" si="15"/>
        <v>2289.6</v>
      </c>
      <c r="H11" s="8">
        <f t="shared" si="6"/>
        <v>193.25</v>
      </c>
      <c r="I11" s="8">
        <f>ConvertingVideoArchive!$D$7</f>
        <v>1621.0602000000001</v>
      </c>
      <c r="J11" s="8">
        <f t="shared" si="7"/>
        <v>1260</v>
      </c>
      <c r="K11" s="8">
        <v>3912</v>
      </c>
      <c r="L11" s="8">
        <f t="shared" si="0"/>
        <v>16034.9102</v>
      </c>
      <c r="M11" s="12">
        <f>StorageCostCalculations!$F$17</f>
        <v>36780</v>
      </c>
      <c r="N11" s="8">
        <f>StorageCostCalculations!$F$7-(SUM(B11,H11,I11,J11,K11))</f>
        <v>5846.7897999999986</v>
      </c>
      <c r="O11" s="8">
        <f>(StorageCostCalculations!$F$7+StorageCostCalculations!$F$14)-L11</f>
        <v>20745.089800000002</v>
      </c>
      <c r="P11" s="28">
        <f t="shared" ref="P11:P16" si="17">((B11-B10)*$L$21)+(B11*($K$23+$K$24))</f>
        <v>40365.541058823539</v>
      </c>
      <c r="Q11" s="28">
        <f t="shared" ref="Q11:Q16" si="18">((C11-C10)*$L$21)+(C10*($K$23+$K$24))+((C11-$C$10)*($K$26+$K$27))</f>
        <v>8406.1831764705894</v>
      </c>
      <c r="R11" s="28">
        <f t="shared" ref="R11:R16" si="19">((D11-D10)*$L$21)+($D$10*($K$23+$K$24))+((D11-$D$10)*($K$26+$K$27))</f>
        <v>128822.08757053196</v>
      </c>
      <c r="S11" s="28">
        <f>((D11-D10)*$K$21)+((E11-E10)*$K$21)+(D11*$K$24)+($E$10*$K$23)+((E11-$E$10)*$K$26)+((D11-D10)*((100%-$D$32)*ConvertingVideoArchive!$B$24))</f>
        <v>98687.858145985243</v>
      </c>
      <c r="T11" s="74">
        <f t="shared" ref="T11:T16" si="20">((F11-F10)*$L$21)+($F$10*($K$23+$K$24))+((F11-$F$10)*($K$26+$K$27))</f>
        <v>78663.230145985232</v>
      </c>
      <c r="U11" s="3">
        <f t="shared" ref="U11:U16" si="21">((D11-D10)*$K$21)+((G11-G10)*$K$21)+(D11*$K$24)+($G$10*$K$23)+((G11-$G$10)*$K$26)</f>
        <v>52417.232610145074</v>
      </c>
      <c r="V11" s="28">
        <f t="shared" ref="V11:V16" si="22">((H11-H10)*$L$21)+($H$10*($K$23+$K$24))+((H11-$H$10)*($K$26+$K$27))</f>
        <v>2854.4144985076059</v>
      </c>
      <c r="W11" s="28">
        <f t="shared" ref="W11:W16" si="23">((I11-I10)*$L$21)+($I$10*($K$23+$K$24))+((I11-$I$10)*($K$26+$K$27))</f>
        <v>20855.416255411765</v>
      </c>
      <c r="X11" s="10">
        <f t="shared" si="2"/>
        <v>160938.10150092194</v>
      </c>
      <c r="Y11" s="10">
        <f t="shared" si="3"/>
        <v>130803.87207637521</v>
      </c>
      <c r="Z11" s="10">
        <f t="shared" si="4"/>
        <v>110779.24407637519</v>
      </c>
      <c r="AA11" s="10">
        <f t="shared" si="5"/>
        <v>84533.246540535038</v>
      </c>
    </row>
    <row r="12" spans="1:27" x14ac:dyDescent="0.3">
      <c r="A12" s="23">
        <v>2026</v>
      </c>
      <c r="B12" s="8">
        <f t="shared" si="11"/>
        <v>2793.6000000000004</v>
      </c>
      <c r="C12" s="8">
        <f t="shared" si="16"/>
        <v>653.40000000000009</v>
      </c>
      <c r="D12" s="8">
        <f t="shared" si="12"/>
        <v>9794.4000000000015</v>
      </c>
      <c r="E12" s="8">
        <f t="shared" si="13"/>
        <v>5980.800000000002</v>
      </c>
      <c r="F12" s="8">
        <f t="shared" si="14"/>
        <v>5980.800000000002</v>
      </c>
      <c r="G12" s="8">
        <f t="shared" si="15"/>
        <v>2671.2000000000003</v>
      </c>
      <c r="H12" s="8">
        <f t="shared" si="6"/>
        <v>218</v>
      </c>
      <c r="I12" s="8">
        <f>ConvertingVideoArchive!$D$7</f>
        <v>1621.0602000000001</v>
      </c>
      <c r="J12" s="8">
        <f t="shared" si="7"/>
        <v>1390</v>
      </c>
      <c r="K12" s="8">
        <v>3912</v>
      </c>
      <c r="L12" s="8">
        <f t="shared" si="0"/>
        <v>17588.860200000003</v>
      </c>
      <c r="M12" s="12">
        <f>StorageCostCalculations!$F$17</f>
        <v>36780</v>
      </c>
      <c r="N12" s="8">
        <f>StorageCostCalculations!$F$7-(SUM(B12,H12,I12,J12,K12))</f>
        <v>5365.3397999999997</v>
      </c>
      <c r="O12" s="8">
        <f>(StorageCostCalculations!$F$7+StorageCostCalculations!$F$14)-L12</f>
        <v>19191.139799999997</v>
      </c>
      <c r="P12" s="28">
        <f t="shared" si="17"/>
        <v>44568.632647058825</v>
      </c>
      <c r="Q12" s="28">
        <f t="shared" si="18"/>
        <v>8406.1831764705894</v>
      </c>
      <c r="R12" s="28">
        <f t="shared" si="19"/>
        <v>130685.70549400509</v>
      </c>
      <c r="S12" s="28">
        <f>((D12-D11)*$K$21)+((E12-E11)*$K$21)+(D12*$K$24)+($E$10*$K$23)+((E12-$E$10)*$K$26)+((D12-D11)*((100%-$D$32)*ConvertingVideoArchive!$B$24))</f>
        <v>100169.07182138221</v>
      </c>
      <c r="T12" s="74">
        <f t="shared" si="20"/>
        <v>79801.219821382198</v>
      </c>
      <c r="U12" s="3">
        <f t="shared" si="21"/>
        <v>53566.58004381958</v>
      </c>
      <c r="V12" s="28">
        <f t="shared" si="22"/>
        <v>2887.3794381916823</v>
      </c>
      <c r="W12" s="28">
        <f t="shared" si="23"/>
        <v>20855.416255411765</v>
      </c>
      <c r="X12" s="10">
        <f t="shared" si="2"/>
        <v>162834.68436407915</v>
      </c>
      <c r="Y12" s="10">
        <f t="shared" si="3"/>
        <v>132318.05069145624</v>
      </c>
      <c r="Z12" s="10">
        <f t="shared" si="4"/>
        <v>111950.19869145623</v>
      </c>
      <c r="AA12" s="10">
        <f t="shared" si="5"/>
        <v>85715.558913893619</v>
      </c>
    </row>
    <row r="13" spans="1:27" x14ac:dyDescent="0.3">
      <c r="A13" s="23">
        <v>2027</v>
      </c>
      <c r="B13" s="8">
        <f t="shared" si="11"/>
        <v>3120.3</v>
      </c>
      <c r="C13" s="8">
        <f t="shared" si="16"/>
        <v>653.40000000000009</v>
      </c>
      <c r="D13" s="8">
        <f t="shared" si="12"/>
        <v>11193.600000000002</v>
      </c>
      <c r="E13" s="8">
        <f t="shared" si="13"/>
        <v>6835.2000000000025</v>
      </c>
      <c r="F13" s="8">
        <f t="shared" si="14"/>
        <v>6835.2000000000025</v>
      </c>
      <c r="G13" s="8">
        <f t="shared" si="15"/>
        <v>3052.8000000000006</v>
      </c>
      <c r="H13" s="8">
        <f t="shared" si="6"/>
        <v>242.75</v>
      </c>
      <c r="I13" s="8">
        <f>ConvertingVideoArchive!$D$7</f>
        <v>1621.0602000000001</v>
      </c>
      <c r="J13" s="8">
        <f t="shared" si="7"/>
        <v>1520</v>
      </c>
      <c r="K13" s="8">
        <v>3912</v>
      </c>
      <c r="L13" s="8">
        <f t="shared" si="0"/>
        <v>19142.8102</v>
      </c>
      <c r="M13" s="12">
        <f>StorageCostCalculations!$F$17</f>
        <v>36780</v>
      </c>
      <c r="N13" s="8">
        <f>StorageCostCalculations!$F$7-(SUM(B13,H13,I13,J13,K13))</f>
        <v>4883.8898000000008</v>
      </c>
      <c r="O13" s="8">
        <f>(StorageCostCalculations!$F$7+StorageCostCalculations!$F$14)-L13</f>
        <v>17637.1898</v>
      </c>
      <c r="P13" s="28">
        <f t="shared" si="17"/>
        <v>48771.724235294118</v>
      </c>
      <c r="Q13" s="28">
        <f t="shared" si="18"/>
        <v>8406.1831764705894</v>
      </c>
      <c r="R13" s="28">
        <f t="shared" si="19"/>
        <v>132549.32341747821</v>
      </c>
      <c r="S13" s="28">
        <f>((D13-D12)*$K$21)+((E13-E12)*$K$21)+(D13*$K$24)+($E$10*$K$23)+((E13-$E$10)*$K$26)+((D13-D12)*((100%-$D$32)*ConvertingVideoArchive!$B$24))</f>
        <v>101650.28549677916</v>
      </c>
      <c r="T13" s="74">
        <f t="shared" si="20"/>
        <v>80939.209496779164</v>
      </c>
      <c r="U13" s="3">
        <f t="shared" si="21"/>
        <v>54715.927477494064</v>
      </c>
      <c r="V13" s="28">
        <f t="shared" si="22"/>
        <v>2920.3443778757587</v>
      </c>
      <c r="W13" s="28">
        <f t="shared" si="23"/>
        <v>20855.416255411765</v>
      </c>
      <c r="X13" s="10">
        <f t="shared" si="2"/>
        <v>164731.26722723636</v>
      </c>
      <c r="Y13" s="10">
        <f t="shared" si="3"/>
        <v>133832.22930653728</v>
      </c>
      <c r="Z13" s="10">
        <f t="shared" si="4"/>
        <v>113121.15330653728</v>
      </c>
      <c r="AA13" s="10">
        <f t="shared" si="5"/>
        <v>86897.871287252186</v>
      </c>
    </row>
    <row r="14" spans="1:27" x14ac:dyDescent="0.3">
      <c r="A14" s="23">
        <v>2028</v>
      </c>
      <c r="B14" s="8">
        <f t="shared" si="11"/>
        <v>3447</v>
      </c>
      <c r="C14" s="8">
        <f t="shared" si="16"/>
        <v>653.40000000000009</v>
      </c>
      <c r="D14" s="8">
        <f t="shared" si="12"/>
        <v>12592.800000000003</v>
      </c>
      <c r="E14" s="8">
        <f t="shared" si="13"/>
        <v>7689.6000000000031</v>
      </c>
      <c r="F14" s="8">
        <f t="shared" si="14"/>
        <v>7689.6000000000031</v>
      </c>
      <c r="G14" s="8">
        <f t="shared" si="15"/>
        <v>3434.400000000001</v>
      </c>
      <c r="H14" s="8">
        <f t="shared" si="6"/>
        <v>267.5</v>
      </c>
      <c r="I14" s="8">
        <f>ConvertingVideoArchive!$D$7</f>
        <v>1621.0602000000001</v>
      </c>
      <c r="J14" s="8">
        <f t="shared" si="7"/>
        <v>1650</v>
      </c>
      <c r="K14" s="8">
        <v>3912</v>
      </c>
      <c r="L14" s="8">
        <f t="shared" si="0"/>
        <v>20696.760200000004</v>
      </c>
      <c r="M14" s="12">
        <f>StorageCostCalculations!$F$17</f>
        <v>36780</v>
      </c>
      <c r="N14" s="8">
        <f>StorageCostCalculations!$F$7-(SUM(B14,H14,I14,J14,K14))</f>
        <v>4402.4398000000001</v>
      </c>
      <c r="O14" s="8">
        <f>(StorageCostCalculations!$F$7+StorageCostCalculations!$F$14)-L14</f>
        <v>16083.239799999996</v>
      </c>
      <c r="P14" s="28">
        <f t="shared" si="17"/>
        <v>52974.81582352941</v>
      </c>
      <c r="Q14" s="28">
        <f t="shared" si="18"/>
        <v>8406.1831764705894</v>
      </c>
      <c r="R14" s="28">
        <f t="shared" si="19"/>
        <v>134412.94134095134</v>
      </c>
      <c r="S14" s="28">
        <f>((D14-D13)*$K$21)+((E14-E13)*$K$21)+(D14*$K$24)+($E$10*$K$23)+((E14-$E$10)*$K$26)+((D14-D13)*((100%-$D$32)*ConvertingVideoArchive!$B$24))</f>
        <v>103131.49917217613</v>
      </c>
      <c r="T14" s="74">
        <f t="shared" si="20"/>
        <v>82077.19917217613</v>
      </c>
      <c r="U14" s="3">
        <f t="shared" si="21"/>
        <v>55865.274911168555</v>
      </c>
      <c r="V14" s="28">
        <f t="shared" si="22"/>
        <v>2953.3093175598351</v>
      </c>
      <c r="W14" s="28">
        <f t="shared" si="23"/>
        <v>20855.416255411765</v>
      </c>
      <c r="X14" s="10">
        <f t="shared" si="2"/>
        <v>166627.85009039356</v>
      </c>
      <c r="Y14" s="10">
        <f t="shared" si="3"/>
        <v>135346.40792161832</v>
      </c>
      <c r="Z14" s="10">
        <f t="shared" si="4"/>
        <v>114292.10792161831</v>
      </c>
      <c r="AA14" s="10">
        <f t="shared" si="5"/>
        <v>88080.183660610739</v>
      </c>
    </row>
    <row r="15" spans="1:27" x14ac:dyDescent="0.3">
      <c r="A15" s="23">
        <v>2029</v>
      </c>
      <c r="B15" s="8">
        <f t="shared" si="11"/>
        <v>3773.7</v>
      </c>
      <c r="C15" s="8">
        <f t="shared" si="16"/>
        <v>653.40000000000009</v>
      </c>
      <c r="D15" s="8">
        <f t="shared" si="12"/>
        <v>13992.000000000004</v>
      </c>
      <c r="E15" s="8">
        <f t="shared" si="13"/>
        <v>8544.0000000000036</v>
      </c>
      <c r="F15" s="8">
        <f t="shared" si="14"/>
        <v>8544.0000000000036</v>
      </c>
      <c r="G15" s="8">
        <f t="shared" si="15"/>
        <v>3816.0000000000014</v>
      </c>
      <c r="H15" s="8">
        <f t="shared" si="6"/>
        <v>292.25</v>
      </c>
      <c r="I15" s="8">
        <f>ConvertingVideoArchive!$D$7</f>
        <v>1621.0602000000001</v>
      </c>
      <c r="J15" s="8">
        <f t="shared" si="7"/>
        <v>1780</v>
      </c>
      <c r="K15" s="8">
        <v>3912</v>
      </c>
      <c r="L15" s="8">
        <f t="shared" si="0"/>
        <v>22250.710200000005</v>
      </c>
      <c r="M15" s="12">
        <f>StorageCostCalculations!$F$17</f>
        <v>36780</v>
      </c>
      <c r="N15" s="8">
        <f>StorageCostCalculations!$F$7-(SUM(B15,H15,I15,J15,K15))</f>
        <v>3920.9897999999994</v>
      </c>
      <c r="O15" s="8">
        <f>(StorageCostCalculations!$F$7+StorageCostCalculations!$F$14)-L15</f>
        <v>14529.289799999995</v>
      </c>
      <c r="P15" s="28">
        <f t="shared" si="17"/>
        <v>57177.907411764703</v>
      </c>
      <c r="Q15" s="28">
        <f t="shared" si="18"/>
        <v>8406.1831764705894</v>
      </c>
      <c r="R15" s="28">
        <f t="shared" si="19"/>
        <v>136276.55926442446</v>
      </c>
      <c r="S15" s="28">
        <f>((D15-D14)*$K$21)+((E15-E14)*$K$21)+(D15*$K$24)+($E$10*$K$23)+((E15-$E$10)*$K$26)+((D15-D14)*((100%-$D$32)*ConvertingVideoArchive!$B$24))</f>
        <v>104612.71284757312</v>
      </c>
      <c r="T15" s="74">
        <f t="shared" si="20"/>
        <v>83215.188847573096</v>
      </c>
      <c r="U15" s="3">
        <f t="shared" si="21"/>
        <v>57014.622344843039</v>
      </c>
      <c r="V15" s="28">
        <f t="shared" si="22"/>
        <v>2986.2742572439115</v>
      </c>
      <c r="W15" s="28">
        <f t="shared" si="23"/>
        <v>20855.416255411765</v>
      </c>
      <c r="X15" s="10">
        <f t="shared" si="2"/>
        <v>168524.43295355071</v>
      </c>
      <c r="Y15" s="10">
        <f t="shared" si="3"/>
        <v>136860.58653669938</v>
      </c>
      <c r="Z15" s="10">
        <f t="shared" si="4"/>
        <v>115463.06253669936</v>
      </c>
      <c r="AA15" s="10">
        <f t="shared" si="5"/>
        <v>89262.496033969306</v>
      </c>
    </row>
    <row r="16" spans="1:27" ht="15" thickBot="1" x14ac:dyDescent="0.35">
      <c r="A16" s="23">
        <v>2030</v>
      </c>
      <c r="B16" s="8">
        <f t="shared" si="11"/>
        <v>4100.3999999999996</v>
      </c>
      <c r="C16" s="8">
        <f t="shared" si="16"/>
        <v>653.40000000000009</v>
      </c>
      <c r="D16" s="8">
        <f t="shared" si="12"/>
        <v>15391.200000000004</v>
      </c>
      <c r="E16" s="8">
        <f t="shared" si="13"/>
        <v>9398.4000000000033</v>
      </c>
      <c r="F16" s="8">
        <f t="shared" si="14"/>
        <v>9398.4000000000033</v>
      </c>
      <c r="G16" s="8">
        <f t="shared" si="15"/>
        <v>4197.6000000000013</v>
      </c>
      <c r="H16" s="8">
        <f t="shared" si="6"/>
        <v>317</v>
      </c>
      <c r="I16" s="8">
        <f>ConvertingVideoArchive!$D$7</f>
        <v>1621.0602000000001</v>
      </c>
      <c r="J16" s="8">
        <f t="shared" si="7"/>
        <v>1910</v>
      </c>
      <c r="K16" s="8">
        <v>3912</v>
      </c>
      <c r="L16" s="8">
        <f t="shared" si="0"/>
        <v>23804.660200000006</v>
      </c>
      <c r="M16" s="12">
        <f>StorageCostCalculations!$F$17</f>
        <v>36780</v>
      </c>
      <c r="N16" s="8">
        <f>StorageCostCalculations!$F$7-(SUM(B16,H16,I16,J16,K16))</f>
        <v>3439.5398000000005</v>
      </c>
      <c r="O16" s="8">
        <f>(StorageCostCalculations!$F$7+StorageCostCalculations!$F$14)-L16</f>
        <v>12975.339799999994</v>
      </c>
      <c r="P16" s="28">
        <f t="shared" si="17"/>
        <v>61380.998999999989</v>
      </c>
      <c r="Q16" s="28">
        <f t="shared" si="18"/>
        <v>8406.1831764705894</v>
      </c>
      <c r="R16" s="28">
        <f t="shared" si="19"/>
        <v>138140.17718789756</v>
      </c>
      <c r="S16" s="28">
        <f>((D16-D15)*$K$21)+((E16-E15)*$K$21)+(D16*$K$24)+($E$10*$K$23)+((E16-$E$10)*$K$26)+((D16-D15)*((100%-$D$32)*ConvertingVideoArchive!$B$24))</f>
        <v>106093.92652297007</v>
      </c>
      <c r="T16" s="74">
        <f t="shared" si="20"/>
        <v>84353.178522970033</v>
      </c>
      <c r="U16" s="3">
        <f t="shared" si="21"/>
        <v>58163.969778517523</v>
      </c>
      <c r="V16" s="28">
        <f t="shared" si="22"/>
        <v>3019.2391969279879</v>
      </c>
      <c r="W16" s="28">
        <f t="shared" si="23"/>
        <v>20855.416255411765</v>
      </c>
      <c r="X16" s="15">
        <f t="shared" si="2"/>
        <v>170421.01581670792</v>
      </c>
      <c r="Y16" s="15">
        <f t="shared" si="3"/>
        <v>138374.76515178039</v>
      </c>
      <c r="Z16" s="15">
        <f t="shared" si="4"/>
        <v>116634.01715178037</v>
      </c>
      <c r="AA16" s="15">
        <f t="shared" si="5"/>
        <v>90444.808407327859</v>
      </c>
    </row>
    <row r="17" spans="1:27" ht="28.8" x14ac:dyDescent="0.3">
      <c r="D17" s="8">
        <f>D16-D15</f>
        <v>1399.2000000000007</v>
      </c>
      <c r="G17" s="8">
        <f>G16-G15</f>
        <v>381.59999999999991</v>
      </c>
      <c r="H17" s="84"/>
      <c r="I17" s="84"/>
      <c r="J17" s="84"/>
      <c r="K17" s="84"/>
      <c r="L17" s="84"/>
      <c r="M17" s="84"/>
      <c r="O17" s="84"/>
      <c r="Q17" s="84"/>
      <c r="S17"/>
      <c r="T17"/>
      <c r="V17" s="95"/>
      <c r="W17" s="95" t="s">
        <v>175</v>
      </c>
      <c r="X17" s="96">
        <f>SUM(X3:X16)</f>
        <v>1664264.0951313013</v>
      </c>
      <c r="Y17" s="96">
        <f>SUM(Y3:Y16)</f>
        <v>1395621.4113334666</v>
      </c>
      <c r="Z17" s="96">
        <f>SUM(Z3:Z16)</f>
        <v>1175350.5033334668</v>
      </c>
      <c r="AA17" s="96">
        <f>SUM(AA3:AA16)</f>
        <v>941174.33861023583</v>
      </c>
    </row>
    <row r="18" spans="1:27" ht="3" customHeight="1" x14ac:dyDescent="0.3"/>
    <row r="19" spans="1:27" ht="30.6" thickBot="1" x14ac:dyDescent="0.45">
      <c r="A19" s="44" t="s">
        <v>110</v>
      </c>
      <c r="D19" s="6" t="s">
        <v>117</v>
      </c>
      <c r="E19" s="78" t="s">
        <v>174</v>
      </c>
      <c r="F19" s="6" t="s">
        <v>173</v>
      </c>
      <c r="O19" s="107"/>
      <c r="Q19" s="108" t="s">
        <v>192</v>
      </c>
      <c r="X19" s="10"/>
      <c r="Z19" s="6" t="s">
        <v>262</v>
      </c>
      <c r="AA19" s="10">
        <f>X17-AA17</f>
        <v>723089.75652106549</v>
      </c>
    </row>
    <row r="20" spans="1:27" ht="101.4" thickBot="1" x14ac:dyDescent="0.35">
      <c r="A20" s="141" t="s">
        <v>142</v>
      </c>
      <c r="B20" s="141"/>
      <c r="C20" s="141"/>
      <c r="D20" s="19">
        <v>1500</v>
      </c>
      <c r="E20" s="58">
        <f>D20*D28</f>
        <v>297</v>
      </c>
      <c r="F20" s="58">
        <f>D20*(D28+D27)</f>
        <v>326.70000000000005</v>
      </c>
      <c r="H20" s="143" t="s">
        <v>112</v>
      </c>
      <c r="I20" s="79" t="s">
        <v>111</v>
      </c>
      <c r="J20" s="32" t="s">
        <v>113</v>
      </c>
      <c r="K20" s="79" t="s">
        <v>114</v>
      </c>
      <c r="L20" s="79" t="s">
        <v>147</v>
      </c>
      <c r="M20" s="80"/>
      <c r="R20" s="8" t="s">
        <v>191</v>
      </c>
      <c r="S20" s="8" t="s">
        <v>193</v>
      </c>
      <c r="T20" s="8" t="s">
        <v>194</v>
      </c>
      <c r="U20" s="6" t="s">
        <v>197</v>
      </c>
      <c r="V20" s="109" t="s">
        <v>195</v>
      </c>
      <c r="W20" s="84" t="s">
        <v>196</v>
      </c>
      <c r="X20" s="84" t="s">
        <v>226</v>
      </c>
      <c r="Y20" s="6" t="s">
        <v>93</v>
      </c>
    </row>
    <row r="21" spans="1:27" ht="46.2" customHeight="1" thickBot="1" x14ac:dyDescent="0.35">
      <c r="A21" s="141" t="s">
        <v>172</v>
      </c>
      <c r="B21" s="141"/>
      <c r="C21" s="141"/>
      <c r="D21" s="19">
        <v>1500</v>
      </c>
      <c r="E21" s="93">
        <f>D21*D30</f>
        <v>591</v>
      </c>
      <c r="F21" s="58">
        <f>D21*(D30+D29)</f>
        <v>718.2</v>
      </c>
      <c r="H21" s="144"/>
      <c r="I21" s="59">
        <f>StorageCostCalculations!B26</f>
        <v>12</v>
      </c>
      <c r="J21" s="81">
        <f>StorageCostCalculations!C26</f>
        <v>158.46</v>
      </c>
      <c r="K21" s="81">
        <f>StorageCostCalculations!D26</f>
        <v>13.205</v>
      </c>
      <c r="L21" s="81">
        <f>StorageCostCalculations!E26</f>
        <v>26.41</v>
      </c>
      <c r="M21" s="82"/>
      <c r="N21" s="73"/>
      <c r="O21" s="73"/>
      <c r="P21" s="141" t="s">
        <v>225</v>
      </c>
      <c r="Q21" s="142"/>
      <c r="R21" s="107">
        <f>((B16-B15)*$L$21)</f>
        <v>8628.1469999999954</v>
      </c>
      <c r="S21" s="10">
        <f>(B16*($K$23+$K$24))</f>
        <v>52752.851999999992</v>
      </c>
      <c r="T21" s="10"/>
      <c r="U21" s="10">
        <v>0</v>
      </c>
      <c r="W21" s="10">
        <f>V16</f>
        <v>3019.2391969279879</v>
      </c>
      <c r="X21" s="10">
        <f>W16</f>
        <v>20855.416255411765</v>
      </c>
      <c r="Y21" s="10">
        <f>SUM(R21:X21)</f>
        <v>85255.654452339746</v>
      </c>
    </row>
    <row r="22" spans="1:27" ht="43.8" thickBot="1" x14ac:dyDescent="0.35">
      <c r="A22" s="141" t="s">
        <v>171</v>
      </c>
      <c r="B22" s="141"/>
      <c r="C22" s="141"/>
      <c r="D22" s="19">
        <v>1500</v>
      </c>
      <c r="E22" s="58">
        <f>D22*D31</f>
        <v>1272</v>
      </c>
      <c r="F22" s="58">
        <f>D22*(D31+D29)</f>
        <v>1399.2</v>
      </c>
      <c r="H22" s="145" t="s">
        <v>144</v>
      </c>
      <c r="I22" s="139"/>
      <c r="J22" s="139"/>
      <c r="K22" s="140"/>
      <c r="L22" s="71" t="s">
        <v>167</v>
      </c>
      <c r="M22" s="78"/>
      <c r="N22" s="73"/>
      <c r="O22" s="73"/>
      <c r="P22" s="141" t="s">
        <v>169</v>
      </c>
      <c r="Q22" s="142"/>
      <c r="R22" s="107">
        <f>((D16-D15)*$L$21)</f>
        <v>36952.872000000018</v>
      </c>
      <c r="S22" s="10">
        <f>($D$10*($K$23+$K$24))</f>
        <v>90005.597647058821</v>
      </c>
      <c r="T22" s="10">
        <f>((D16-$D$10)*($K$26+$K$27))</f>
        <v>11181.707540838732</v>
      </c>
      <c r="U22" s="10">
        <v>0</v>
      </c>
      <c r="V22" s="10">
        <f>Q16</f>
        <v>8406.1831764705894</v>
      </c>
      <c r="W22" s="10">
        <f>V16</f>
        <v>3019.2391969279879</v>
      </c>
      <c r="X22" s="10">
        <f>W16</f>
        <v>20855.416255411765</v>
      </c>
      <c r="Y22" s="10">
        <f t="shared" ref="Y22" si="24">SUM(R22:X22)</f>
        <v>170421.01581670792</v>
      </c>
    </row>
    <row r="23" spans="1:27" ht="60" customHeight="1" thickBot="1" x14ac:dyDescent="0.35">
      <c r="A23" s="141" t="s">
        <v>143</v>
      </c>
      <c r="B23" s="141"/>
      <c r="C23" s="146"/>
      <c r="D23" s="19">
        <v>125</v>
      </c>
      <c r="E23" s="58">
        <f>D23*D28</f>
        <v>24.75</v>
      </c>
      <c r="H23" s="147" t="s">
        <v>132</v>
      </c>
      <c r="I23" s="148"/>
      <c r="J23" s="149"/>
      <c r="K23" s="60">
        <f>StorageCostCalculations!G7</f>
        <v>12.235294117647058</v>
      </c>
      <c r="L23" s="72">
        <f>StorageCostCalculations!F7</f>
        <v>15300</v>
      </c>
      <c r="M23" s="78"/>
      <c r="N23" s="73"/>
      <c r="O23" s="73"/>
      <c r="P23" s="141" t="s">
        <v>198</v>
      </c>
      <c r="Q23" s="142"/>
      <c r="R23" s="107">
        <f>((D16-D15)*$K$21)+((E16-E15)*$K$21)</f>
        <v>29758.788000000004</v>
      </c>
      <c r="S23" s="10">
        <f>($D$10*$K$24)+($E$10*$K$23)</f>
        <v>56676.656470588248</v>
      </c>
      <c r="T23" s="10">
        <f>((D16-$D$10)*$K$27)+((E16-$E$10)*$K$26)</f>
        <v>8887.2820523817973</v>
      </c>
      <c r="U23" s="10">
        <f>((D15-D14)*((100%-$D$32)*ConvertingVideoArchive!$B$24))</f>
        <v>10771.200000000006</v>
      </c>
      <c r="V23" s="10">
        <f>Q16</f>
        <v>8406.1831764705894</v>
      </c>
      <c r="W23" s="10">
        <f>V16</f>
        <v>3019.2391969279879</v>
      </c>
      <c r="X23" s="10">
        <f>W16</f>
        <v>20855.416255411765</v>
      </c>
      <c r="Y23" s="10">
        <f>SUM(R23:X23)</f>
        <v>138374.76515178039</v>
      </c>
    </row>
    <row r="24" spans="1:27" ht="64.2" customHeight="1" thickBot="1" x14ac:dyDescent="0.35">
      <c r="A24" s="141" t="s">
        <v>176</v>
      </c>
      <c r="B24" s="141"/>
      <c r="C24" s="146"/>
      <c r="D24" s="19"/>
      <c r="E24" s="61">
        <v>130</v>
      </c>
      <c r="F24" s="78"/>
      <c r="H24" s="150" t="s">
        <v>133</v>
      </c>
      <c r="I24" s="151"/>
      <c r="J24" s="152"/>
      <c r="K24" s="35">
        <f>StorageCostCalculations!H7</f>
        <v>0.63</v>
      </c>
      <c r="L24" s="78"/>
      <c r="M24" s="78"/>
      <c r="N24" s="73"/>
      <c r="O24" s="73"/>
      <c r="P24" s="141" t="s">
        <v>199</v>
      </c>
      <c r="Q24" s="142"/>
      <c r="R24" s="107">
        <f>((F16-F15)*$L$21)</f>
        <v>22564.703999999991</v>
      </c>
      <c r="S24" s="10">
        <f>($F$10*($K$23+$K$24))</f>
        <v>54960.536470588246</v>
      </c>
      <c r="T24" s="10">
        <f>((F16-$F$10)*($K$26+$K$27))</f>
        <v>6827.9380523817981</v>
      </c>
      <c r="U24" s="10">
        <v>0</v>
      </c>
      <c r="V24" s="10">
        <f>Q16</f>
        <v>8406.1831764705894</v>
      </c>
      <c r="W24" s="10">
        <f>V16</f>
        <v>3019.2391969279879</v>
      </c>
      <c r="X24" s="10">
        <f>W16</f>
        <v>20855.416255411765</v>
      </c>
      <c r="Y24" s="10">
        <f>SUM(R24:X24)</f>
        <v>116634.01715178037</v>
      </c>
    </row>
    <row r="25" spans="1:27" ht="60.6" customHeight="1" thickBot="1" x14ac:dyDescent="0.35">
      <c r="A25" s="141" t="s">
        <v>257</v>
      </c>
      <c r="B25" s="141"/>
      <c r="C25" s="141"/>
      <c r="D25" s="45">
        <f>D26/10</f>
        <v>9.9000000000000008E-3</v>
      </c>
      <c r="E25" s="98" t="s">
        <v>116</v>
      </c>
      <c r="H25" s="145" t="s">
        <v>145</v>
      </c>
      <c r="I25" s="139"/>
      <c r="J25" s="139"/>
      <c r="K25" s="140"/>
      <c r="L25" s="78"/>
      <c r="M25" s="78"/>
      <c r="N25" s="73"/>
      <c r="O25" s="73"/>
      <c r="P25" s="141" t="s">
        <v>183</v>
      </c>
      <c r="Q25" s="142"/>
      <c r="R25" s="107">
        <f>((D16-D15)*$K$21)+((G16-G15)*$K$21)</f>
        <v>23515.464000000007</v>
      </c>
      <c r="S25" s="10">
        <f>($D$10*$K$24)+($G$10*$K$23)</f>
        <v>27752.421176470583</v>
      </c>
      <c r="T25" s="10">
        <f>((D16-$D$10)*$K$27)+((G16-$G$10)*$K$26)</f>
        <v>6896.084602046928</v>
      </c>
      <c r="U25" s="10">
        <v>0</v>
      </c>
      <c r="V25" s="10">
        <f>Q16</f>
        <v>8406.1831764705894</v>
      </c>
      <c r="W25" s="10">
        <f>V16</f>
        <v>3019.2391969279879</v>
      </c>
      <c r="X25" s="10">
        <f>W16</f>
        <v>20855.416255411765</v>
      </c>
      <c r="Y25" s="10">
        <f>SUM(R25:X25)</f>
        <v>90444.808407327859</v>
      </c>
    </row>
    <row r="26" spans="1:27" ht="33.6" customHeight="1" thickBot="1" x14ac:dyDescent="0.35">
      <c r="A26" s="141" t="s">
        <v>255</v>
      </c>
      <c r="B26" s="141"/>
      <c r="C26" s="141"/>
      <c r="D26" s="19">
        <v>9.9000000000000005E-2</v>
      </c>
      <c r="E26" s="98" t="s">
        <v>116</v>
      </c>
      <c r="H26" s="147" t="s">
        <v>132</v>
      </c>
      <c r="I26" s="148"/>
      <c r="J26" s="149"/>
      <c r="K26" s="60">
        <f>StorageCostCalculations!G14</f>
        <v>0.70191675491217898</v>
      </c>
      <c r="L26" s="72">
        <f>StorageCostCalculations!F17</f>
        <v>36780</v>
      </c>
      <c r="M26" s="78"/>
      <c r="T26" s="10"/>
      <c r="V26" s="10"/>
      <c r="W26" s="10"/>
    </row>
    <row r="27" spans="1:27" ht="36.6" customHeight="1" thickBot="1" x14ac:dyDescent="0.35">
      <c r="A27" s="141" t="s">
        <v>256</v>
      </c>
      <c r="B27" s="141"/>
      <c r="C27" s="141"/>
      <c r="D27" s="45">
        <f>D28/10</f>
        <v>1.9800000000000002E-2</v>
      </c>
      <c r="E27" s="78" t="s">
        <v>116</v>
      </c>
      <c r="H27" s="150" t="s">
        <v>133</v>
      </c>
      <c r="I27" s="151"/>
      <c r="J27" s="152"/>
      <c r="K27" s="35">
        <f>StorageCostCalculations!H14</f>
        <v>0.63</v>
      </c>
      <c r="L27" s="78"/>
      <c r="M27" s="78"/>
    </row>
    <row r="28" spans="1:27" s="78" customFormat="1" ht="72.599999999999994" thickBot="1" x14ac:dyDescent="0.35">
      <c r="A28" s="141" t="s">
        <v>165</v>
      </c>
      <c r="B28" s="141"/>
      <c r="C28" s="141"/>
      <c r="D28" s="19">
        <v>0.19800000000000001</v>
      </c>
      <c r="E28" s="78" t="s">
        <v>116</v>
      </c>
      <c r="G28" s="21"/>
      <c r="H28" s="83"/>
      <c r="I28" s="83"/>
      <c r="N28"/>
      <c r="O28"/>
      <c r="P28"/>
      <c r="Q28"/>
      <c r="R28" s="8" t="s">
        <v>191</v>
      </c>
      <c r="S28" s="8" t="s">
        <v>227</v>
      </c>
      <c r="T28" s="8" t="s">
        <v>228</v>
      </c>
      <c r="U28" s="98" t="s">
        <v>229</v>
      </c>
      <c r="V28" s="98" t="s">
        <v>230</v>
      </c>
      <c r="W28" s="98" t="s">
        <v>196</v>
      </c>
      <c r="X28" s="98" t="s">
        <v>93</v>
      </c>
    </row>
    <row r="29" spans="1:27" ht="69" customHeight="1" thickBot="1" x14ac:dyDescent="0.35">
      <c r="A29" s="141" t="s">
        <v>200</v>
      </c>
      <c r="B29" s="141"/>
      <c r="C29" s="141"/>
      <c r="D29" s="45">
        <f>D31/10</f>
        <v>8.48E-2</v>
      </c>
      <c r="E29" s="6" t="s">
        <v>116</v>
      </c>
      <c r="J29" s="13"/>
      <c r="P29" s="141" t="s">
        <v>250</v>
      </c>
      <c r="Q29" s="141"/>
      <c r="R29" s="107">
        <f>R22</f>
        <v>36952.872000000018</v>
      </c>
      <c r="S29" s="10">
        <f>(($C$10+$D$10)*$K$23)+((D16-$D$10)*$K$26)</f>
        <v>99485.390364368126</v>
      </c>
      <c r="T29" s="10">
        <f>(C16+D16)*$K$24</f>
        <v>10108.098000000002</v>
      </c>
      <c r="U29" s="10">
        <f>($I$10*$K$23)+((I16-$I$10)*$K$26)</f>
        <v>19834.148329411764</v>
      </c>
      <c r="V29" s="10">
        <f>I16*$K$24</f>
        <v>1021.2679260000001</v>
      </c>
      <c r="W29" s="10">
        <f>V16</f>
        <v>3019.2391969279879</v>
      </c>
      <c r="X29" s="10">
        <f>SUM(R29:W29)</f>
        <v>170421.01581670786</v>
      </c>
    </row>
    <row r="30" spans="1:27" ht="58.2" customHeight="1" thickBot="1" x14ac:dyDescent="0.35">
      <c r="A30" s="141" t="s">
        <v>170</v>
      </c>
      <c r="B30" s="141"/>
      <c r="C30" s="146"/>
      <c r="D30" s="19">
        <v>0.39400000000000002</v>
      </c>
      <c r="E30" s="78" t="s">
        <v>116</v>
      </c>
      <c r="H30" s="94"/>
      <c r="P30" s="141" t="s">
        <v>183</v>
      </c>
      <c r="Q30" s="141"/>
      <c r="R30" s="107">
        <f>((D16-D15)*$K$21)+((G16-G15)*$K$21)</f>
        <v>23515.464000000007</v>
      </c>
      <c r="S30" s="10">
        <f>(($C$10+$G$10)*$K$23)+((G16-$G$10)*$K$26)</f>
        <v>32946.590954988096</v>
      </c>
      <c r="T30" s="10">
        <f>(C16+D16)*$K$24</f>
        <v>10108.098000000002</v>
      </c>
      <c r="U30" s="10">
        <f>($I$10*$K$23)+((I16-$I$10)*$K$26)</f>
        <v>19834.148329411764</v>
      </c>
      <c r="V30" s="10">
        <f>I16*$K$24</f>
        <v>1021.2679260000001</v>
      </c>
      <c r="W30" s="10">
        <f>V16</f>
        <v>3019.2391969279879</v>
      </c>
      <c r="X30" s="10">
        <f>SUM(R30:W30)</f>
        <v>90444.808407327859</v>
      </c>
    </row>
    <row r="31" spans="1:27" s="78" customFormat="1" ht="15" thickBot="1" x14ac:dyDescent="0.35">
      <c r="A31" s="141" t="s">
        <v>166</v>
      </c>
      <c r="B31" s="141"/>
      <c r="C31" s="146"/>
      <c r="D31" s="19">
        <v>0.84799999999999998</v>
      </c>
      <c r="E31" s="78" t="s">
        <v>116</v>
      </c>
      <c r="L31" s="10"/>
      <c r="N31"/>
      <c r="O31"/>
      <c r="P31"/>
      <c r="Q31"/>
      <c r="R31"/>
      <c r="T31" s="10"/>
      <c r="V31" s="10"/>
    </row>
    <row r="32" spans="1:27" s="78" customFormat="1" ht="15" thickBot="1" x14ac:dyDescent="0.35">
      <c r="A32" s="141" t="s">
        <v>168</v>
      </c>
      <c r="B32" s="141"/>
      <c r="C32" s="146"/>
      <c r="D32" s="106">
        <f>StorageCharts!CX1</f>
        <v>0.2</v>
      </c>
      <c r="L32" s="10"/>
      <c r="N32"/>
      <c r="O32"/>
      <c r="P32"/>
      <c r="Q32"/>
      <c r="R32"/>
      <c r="S32" s="13"/>
      <c r="T32" s="13"/>
      <c r="U32" s="10"/>
    </row>
    <row r="34" spans="20:24" x14ac:dyDescent="0.3">
      <c r="T34" s="10"/>
      <c r="X34" s="13"/>
    </row>
  </sheetData>
  <mergeCells count="28">
    <mergeCell ref="P30:Q30"/>
    <mergeCell ref="P29:Q29"/>
    <mergeCell ref="A32:C32"/>
    <mergeCell ref="A26:C26"/>
    <mergeCell ref="H26:J26"/>
    <mergeCell ref="H27:J27"/>
    <mergeCell ref="A30:C30"/>
    <mergeCell ref="A27:C27"/>
    <mergeCell ref="A31:C31"/>
    <mergeCell ref="A28:C28"/>
    <mergeCell ref="A29:C29"/>
    <mergeCell ref="A23:C23"/>
    <mergeCell ref="A24:C24"/>
    <mergeCell ref="A25:C25"/>
    <mergeCell ref="P23:Q23"/>
    <mergeCell ref="P24:Q24"/>
    <mergeCell ref="P25:Q25"/>
    <mergeCell ref="H23:J23"/>
    <mergeCell ref="H24:J24"/>
    <mergeCell ref="H25:K25"/>
    <mergeCell ref="A1:C1"/>
    <mergeCell ref="A20:C20"/>
    <mergeCell ref="A22:C22"/>
    <mergeCell ref="P21:Q21"/>
    <mergeCell ref="P22:Q22"/>
    <mergeCell ref="A21:C21"/>
    <mergeCell ref="H20:H21"/>
    <mergeCell ref="H22:K22"/>
  </mergeCells>
  <pageMargins left="0.7" right="0.7" top="0.75" bottom="0.75" header="0.3" footer="0.3"/>
  <pageSetup paperSize="8" scale="90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>
      <selection activeCell="T39" sqref="T39"/>
    </sheetView>
  </sheetViews>
  <sheetFormatPr defaultRowHeight="14.4" x14ac:dyDescent="0.3"/>
  <cols>
    <col min="1" max="1" width="28.44140625" style="6" customWidth="1"/>
    <col min="2" max="2" width="10.33203125" style="6" customWidth="1"/>
    <col min="3" max="3" width="11.77734375" style="10" customWidth="1"/>
    <col min="4" max="4" width="9.6640625" style="10" customWidth="1"/>
    <col min="5" max="5" width="8" style="6" customWidth="1"/>
    <col min="6" max="6" width="9.77734375" style="12" customWidth="1"/>
    <col min="7" max="8" width="13.21875" style="13" customWidth="1"/>
    <col min="9" max="9" width="14.88671875" style="6" customWidth="1"/>
    <col min="10" max="10" width="14.77734375" style="6" customWidth="1"/>
    <col min="11" max="11" width="15.77734375" style="6" customWidth="1"/>
    <col min="12" max="12" width="8.88671875" style="6"/>
    <col min="13" max="13" width="12.33203125" style="10" customWidth="1"/>
    <col min="14" max="14" width="17.33203125" style="6" customWidth="1"/>
    <col min="15" max="15" width="22.44140625" style="6" customWidth="1"/>
    <col min="16" max="16384" width="8.88671875" style="6"/>
  </cols>
  <sheetData>
    <row r="1" spans="1:11" ht="18" x14ac:dyDescent="0.35">
      <c r="A1" s="157" t="s">
        <v>124</v>
      </c>
      <c r="B1" s="157"/>
      <c r="C1" s="157"/>
      <c r="D1" s="6"/>
      <c r="F1" s="6"/>
      <c r="G1" s="6"/>
      <c r="H1" s="6"/>
      <c r="I1" s="13"/>
    </row>
    <row r="2" spans="1:11" ht="100.8" x14ac:dyDescent="0.3">
      <c r="A2" s="141" t="s">
        <v>129</v>
      </c>
      <c r="B2" s="6" t="s">
        <v>122</v>
      </c>
      <c r="C2" s="6" t="s">
        <v>121</v>
      </c>
      <c r="D2" s="10" t="s">
        <v>127</v>
      </c>
      <c r="E2" s="6" t="s">
        <v>115</v>
      </c>
      <c r="F2" s="12" t="s">
        <v>131</v>
      </c>
      <c r="G2" s="13" t="s">
        <v>132</v>
      </c>
      <c r="H2" s="13" t="s">
        <v>133</v>
      </c>
      <c r="I2" s="13" t="s">
        <v>139</v>
      </c>
      <c r="J2" s="13" t="s">
        <v>140</v>
      </c>
    </row>
    <row r="3" spans="1:11" x14ac:dyDescent="0.3">
      <c r="A3" s="141"/>
      <c r="B3" s="34">
        <f>291000+187000+(2*15000)+130000</f>
        <v>638000</v>
      </c>
      <c r="C3" s="46">
        <f>B3/$B$29</f>
        <v>127600</v>
      </c>
      <c r="D3" s="48">
        <v>540</v>
      </c>
      <c r="F3" s="50">
        <f>D3</f>
        <v>540</v>
      </c>
      <c r="J3" s="13"/>
    </row>
    <row r="4" spans="1:11" x14ac:dyDescent="0.3">
      <c r="A4" s="10" t="s">
        <v>118</v>
      </c>
      <c r="B4" s="34">
        <f>128000</f>
        <v>128000</v>
      </c>
      <c r="C4" s="47">
        <f>B4/$B$30</f>
        <v>12800</v>
      </c>
      <c r="D4" s="8"/>
      <c r="E4" s="49">
        <v>1230</v>
      </c>
      <c r="F4" s="50">
        <f>E4*$B$26</f>
        <v>14760</v>
      </c>
      <c r="I4" s="13"/>
      <c r="J4" s="13"/>
    </row>
    <row r="5" spans="1:11" x14ac:dyDescent="0.3">
      <c r="A5" s="10" t="s">
        <v>130</v>
      </c>
      <c r="B5" s="34">
        <f>2*15000</f>
        <v>30000</v>
      </c>
      <c r="C5" s="47">
        <f>B5/$B$30</f>
        <v>3000</v>
      </c>
      <c r="D5" s="8"/>
      <c r="E5" s="49">
        <v>16</v>
      </c>
      <c r="F5" s="50">
        <f>E5*$B$26</f>
        <v>192</v>
      </c>
      <c r="I5" s="13"/>
      <c r="J5" s="13"/>
      <c r="K5" s="66" t="s">
        <v>155</v>
      </c>
    </row>
    <row r="6" spans="1:11" ht="43.8" thickBot="1" x14ac:dyDescent="0.35">
      <c r="A6" s="15" t="s">
        <v>128</v>
      </c>
      <c r="B6" s="54">
        <v>219000</v>
      </c>
      <c r="C6" s="55">
        <f>B6/5</f>
        <v>43800</v>
      </c>
      <c r="D6" s="37"/>
      <c r="E6" s="16"/>
      <c r="F6" s="17"/>
      <c r="G6" s="18"/>
      <c r="H6" s="18"/>
      <c r="I6" s="18"/>
      <c r="J6" s="18"/>
      <c r="K6" s="6" t="s">
        <v>272</v>
      </c>
    </row>
    <row r="7" spans="1:11" x14ac:dyDescent="0.3">
      <c r="A7" s="6" t="s">
        <v>123</v>
      </c>
      <c r="B7" s="56">
        <f>SUM(B3:B6)</f>
        <v>1015000</v>
      </c>
      <c r="C7" s="56">
        <f>SUM(C3:C6)</f>
        <v>187200</v>
      </c>
      <c r="D7" s="52">
        <f t="shared" ref="D7:E7" si="0">SUM(D3:D6)</f>
        <v>540</v>
      </c>
      <c r="E7" s="52">
        <f t="shared" si="0"/>
        <v>1246</v>
      </c>
      <c r="F7" s="52">
        <f>SUM(F3:F4)</f>
        <v>15300</v>
      </c>
      <c r="G7" s="53">
        <f>C7/F7</f>
        <v>12.235294117647058</v>
      </c>
      <c r="H7" s="53">
        <f>B28/B26</f>
        <v>0.63</v>
      </c>
      <c r="I7" s="53">
        <f>((G7+H7)+(E26))*(C32+C31)</f>
        <v>8.5541590588235294</v>
      </c>
      <c r="J7" s="53">
        <f>((G7+H7)+(E26))*(C34+C33)</f>
        <v>36.635994352941175</v>
      </c>
      <c r="K7" s="67">
        <f>135</f>
        <v>135</v>
      </c>
    </row>
    <row r="8" spans="1:11" x14ac:dyDescent="0.3">
      <c r="D8" s="8"/>
      <c r="F8" s="6"/>
      <c r="G8" s="6"/>
      <c r="H8" s="36" t="s">
        <v>134</v>
      </c>
      <c r="I8" s="53">
        <f>(G7+H7)*(C32+C31)</f>
        <v>2.8020610588235297</v>
      </c>
      <c r="J8" s="53">
        <f>(G7+H7)*(C34+C33)</f>
        <v>12.000746352941176</v>
      </c>
    </row>
    <row r="9" spans="1:11" ht="100.8" x14ac:dyDescent="0.3">
      <c r="A9" s="38" t="s">
        <v>150</v>
      </c>
      <c r="B9" s="121" t="s">
        <v>122</v>
      </c>
      <c r="C9" s="121" t="s">
        <v>121</v>
      </c>
      <c r="D9" s="10" t="s">
        <v>127</v>
      </c>
      <c r="E9" s="121" t="s">
        <v>115</v>
      </c>
      <c r="F9" s="12" t="s">
        <v>131</v>
      </c>
      <c r="G9" s="13" t="s">
        <v>132</v>
      </c>
      <c r="H9" s="13" t="s">
        <v>133</v>
      </c>
      <c r="I9" s="13" t="s">
        <v>139</v>
      </c>
      <c r="J9" s="13" t="s">
        <v>140</v>
      </c>
    </row>
    <row r="10" spans="1:11" x14ac:dyDescent="0.3">
      <c r="A10" s="6" t="s">
        <v>108</v>
      </c>
      <c r="B10" s="34">
        <v>10000</v>
      </c>
      <c r="C10" s="47">
        <f>B10/$B$29</f>
        <v>2000</v>
      </c>
      <c r="E10" s="29">
        <v>470</v>
      </c>
      <c r="F10" s="50">
        <f>E10*StorageCostCalculations!$B$26</f>
        <v>5640</v>
      </c>
      <c r="G10" s="10"/>
      <c r="I10" s="13"/>
    </row>
    <row r="11" spans="1:11" ht="28.8" x14ac:dyDescent="0.3">
      <c r="A11" s="6" t="s">
        <v>109</v>
      </c>
      <c r="B11" s="34">
        <v>37000</v>
      </c>
      <c r="C11" s="47">
        <f>B11/$B$29</f>
        <v>7400</v>
      </c>
      <c r="E11" s="29">
        <v>1320</v>
      </c>
      <c r="F11" s="50">
        <f>E11*StorageCostCalculations!$B$26</f>
        <v>15840</v>
      </c>
      <c r="G11" s="10"/>
      <c r="I11" s="13"/>
    </row>
    <row r="12" spans="1:11" ht="28.8" x14ac:dyDescent="0.3">
      <c r="A12" s="6" t="s">
        <v>136</v>
      </c>
      <c r="B12" s="34">
        <f>(B6*(SUM(B10:B11)))/(SUM(B3:B5)-130000)</f>
        <v>15454.954954954956</v>
      </c>
      <c r="C12" s="47">
        <f>B12/$B$29</f>
        <v>3090.9909909909911</v>
      </c>
      <c r="G12" s="10"/>
      <c r="I12" s="13"/>
    </row>
    <row r="13" spans="1:11" ht="43.8" thickBot="1" x14ac:dyDescent="0.35">
      <c r="A13" s="15" t="s">
        <v>135</v>
      </c>
      <c r="B13" s="54">
        <f>(B6*(SUM(B10:B11)))/(SUM(B3:B5))</f>
        <v>12930.904522613066</v>
      </c>
      <c r="C13" s="55">
        <f>B13/5</f>
        <v>2586.1809045226132</v>
      </c>
      <c r="D13" s="16"/>
      <c r="E13" s="17"/>
      <c r="F13" s="15"/>
      <c r="G13" s="18"/>
      <c r="H13" s="18"/>
      <c r="I13" s="18"/>
      <c r="J13" s="16"/>
    </row>
    <row r="14" spans="1:11" x14ac:dyDescent="0.3">
      <c r="A14" s="24"/>
      <c r="B14" s="56">
        <f>SUM(B9:B13)</f>
        <v>75385.859477568025</v>
      </c>
      <c r="C14" s="56">
        <f>SUM(C9:C13)</f>
        <v>15077.171895513604</v>
      </c>
      <c r="D14" s="57"/>
      <c r="E14" s="52">
        <f>SUM(E10:E13)</f>
        <v>1790</v>
      </c>
      <c r="F14" s="52">
        <f>SUM(F10:F13)</f>
        <v>21480</v>
      </c>
      <c r="G14" s="53">
        <f>C14/F14</f>
        <v>0.70191675491217898</v>
      </c>
      <c r="H14" s="53">
        <f>B28/B26</f>
        <v>0.63</v>
      </c>
      <c r="I14" s="53">
        <f>((G14+H14)+(E26))*($C$32+$C$31)</f>
        <v>6.0421894692198732</v>
      </c>
      <c r="J14" s="53">
        <f>((G14+H14)+(E26))*($C$34+$C$33)</f>
        <v>25.877659948982078</v>
      </c>
    </row>
    <row r="15" spans="1:11" x14ac:dyDescent="0.3">
      <c r="F15" s="6"/>
      <c r="G15" s="6"/>
      <c r="H15" s="36" t="s">
        <v>134</v>
      </c>
      <c r="I15" s="53">
        <f>(G14+H14)*(C32+C31)</f>
        <v>0.29009146921987261</v>
      </c>
      <c r="J15" s="53">
        <f>(G14+H14)*(C34+C33)</f>
        <v>1.2424119489820806</v>
      </c>
    </row>
    <row r="16" spans="1:11" ht="15" thickBot="1" x14ac:dyDescent="0.35">
      <c r="F16" s="6"/>
      <c r="G16" s="14" t="s">
        <v>151</v>
      </c>
      <c r="H16" s="36"/>
      <c r="I16" s="63"/>
      <c r="J16" s="63"/>
    </row>
    <row r="17" spans="1:10" ht="15" thickBot="1" x14ac:dyDescent="0.35">
      <c r="D17" s="20"/>
      <c r="E17" s="39" t="s">
        <v>149</v>
      </c>
      <c r="F17" s="51">
        <f>F7+F14</f>
        <v>36780</v>
      </c>
      <c r="G17" s="47">
        <f>((F14*G14)+(F7*G7))/F17</f>
        <v>5.4996512206501791</v>
      </c>
      <c r="H17" s="47">
        <f>B28/B26</f>
        <v>0.63</v>
      </c>
      <c r="I17" s="47">
        <f>((G17+H17)+(E26))*($C$32+$C$31)</f>
        <v>7.0871360358576094</v>
      </c>
      <c r="J17" s="47">
        <f>((G17+H17)+(E26))*($C$34+$C$33)</f>
        <v>30.352986658622484</v>
      </c>
    </row>
    <row r="18" spans="1:10" x14ac:dyDescent="0.3">
      <c r="H18" s="36" t="s">
        <v>134</v>
      </c>
      <c r="I18" s="53">
        <f>(G17+H17)*(C32+C31)</f>
        <v>1.3350380358576091</v>
      </c>
      <c r="J18" s="53">
        <f>(G17+H17)*(C34+C33)</f>
        <v>5.717738658622487</v>
      </c>
    </row>
    <row r="20" spans="1:10" x14ac:dyDescent="0.3">
      <c r="G20" s="21"/>
      <c r="H20" s="21"/>
      <c r="I20" s="20"/>
    </row>
    <row r="23" spans="1:10" ht="15" thickBot="1" x14ac:dyDescent="0.35"/>
    <row r="24" spans="1:10" ht="15" thickBot="1" x14ac:dyDescent="0.35">
      <c r="A24" s="30" t="s">
        <v>110</v>
      </c>
    </row>
    <row r="25" spans="1:10" ht="28.8" x14ac:dyDescent="0.3">
      <c r="A25" s="143" t="s">
        <v>112</v>
      </c>
      <c r="B25" s="31" t="s">
        <v>111</v>
      </c>
      <c r="C25" s="32" t="s">
        <v>113</v>
      </c>
      <c r="D25" s="31" t="s">
        <v>114</v>
      </c>
      <c r="E25" s="155" t="s">
        <v>156</v>
      </c>
      <c r="F25" s="156"/>
    </row>
    <row r="26" spans="1:10" ht="15" thickBot="1" x14ac:dyDescent="0.35">
      <c r="A26" s="144"/>
      <c r="B26" s="40">
        <v>12</v>
      </c>
      <c r="C26" s="43">
        <f>'LTO Tape Costs'!D7</f>
        <v>158.46</v>
      </c>
      <c r="D26" s="43">
        <f>'LTO Tape Costs'!E7</f>
        <v>13.205</v>
      </c>
      <c r="E26" s="153">
        <f>D26*2</f>
        <v>26.41</v>
      </c>
      <c r="F26" s="154"/>
    </row>
    <row r="27" spans="1:10" ht="28.8" x14ac:dyDescent="0.3">
      <c r="A27" s="6" t="s">
        <v>125</v>
      </c>
      <c r="B27" s="41">
        <v>0.63</v>
      </c>
      <c r="C27" s="21"/>
      <c r="D27" s="21"/>
      <c r="E27" s="21"/>
      <c r="F27" s="22"/>
    </row>
    <row r="28" spans="1:10" ht="29.4" thickBot="1" x14ac:dyDescent="0.35">
      <c r="A28" s="6" t="s">
        <v>126</v>
      </c>
      <c r="B28" s="42">
        <f>B27*12</f>
        <v>7.5600000000000005</v>
      </c>
      <c r="D28" s="6"/>
    </row>
    <row r="29" spans="1:10" ht="29.4" thickBot="1" x14ac:dyDescent="0.35">
      <c r="A29" s="25" t="s">
        <v>119</v>
      </c>
      <c r="B29" s="33">
        <v>5</v>
      </c>
      <c r="D29" s="6"/>
    </row>
    <row r="30" spans="1:10" ht="29.4" thickBot="1" x14ac:dyDescent="0.35">
      <c r="A30" s="26" t="s">
        <v>120</v>
      </c>
      <c r="B30" s="27">
        <v>10</v>
      </c>
      <c r="D30" s="6"/>
      <c r="F30" s="22"/>
    </row>
    <row r="31" spans="1:10" ht="15" thickBot="1" x14ac:dyDescent="0.35">
      <c r="A31" s="158" t="s">
        <v>137</v>
      </c>
      <c r="B31" s="159"/>
      <c r="C31" s="45">
        <f>'DataStorageAll+4K+Archive'!D27</f>
        <v>1.9800000000000002E-2</v>
      </c>
      <c r="D31" s="6" t="s">
        <v>116</v>
      </c>
    </row>
    <row r="32" spans="1:10" ht="15" thickBot="1" x14ac:dyDescent="0.35">
      <c r="A32" s="160" t="s">
        <v>165</v>
      </c>
      <c r="B32" s="161"/>
      <c r="C32" s="45">
        <f>'DataStorageAll+4K+Archive'!D28</f>
        <v>0.19800000000000001</v>
      </c>
      <c r="D32" s="6" t="s">
        <v>116</v>
      </c>
    </row>
    <row r="33" spans="1:4" ht="15" thickBot="1" x14ac:dyDescent="0.35">
      <c r="A33" s="160" t="s">
        <v>138</v>
      </c>
      <c r="B33" s="161"/>
      <c r="C33" s="45">
        <f>'DataStorageAll+4K+Archive'!D29</f>
        <v>8.48E-2</v>
      </c>
      <c r="D33" s="6" t="s">
        <v>116</v>
      </c>
    </row>
    <row r="34" spans="1:4" ht="15" thickBot="1" x14ac:dyDescent="0.35">
      <c r="A34" s="162" t="s">
        <v>166</v>
      </c>
      <c r="B34" s="163"/>
      <c r="C34" s="45">
        <f>'DataStorageAll+4K+Archive'!D31</f>
        <v>0.84799999999999998</v>
      </c>
      <c r="D34" s="6" t="s">
        <v>116</v>
      </c>
    </row>
  </sheetData>
  <mergeCells count="9">
    <mergeCell ref="A32:B32"/>
    <mergeCell ref="A33:B33"/>
    <mergeCell ref="A34:B34"/>
    <mergeCell ref="A25:A26"/>
    <mergeCell ref="E26:F26"/>
    <mergeCell ref="E25:F25"/>
    <mergeCell ref="A2:A3"/>
    <mergeCell ref="A1:C1"/>
    <mergeCell ref="A31:B31"/>
  </mergeCells>
  <pageMargins left="0.7" right="0.7" top="0.75" bottom="0.75" header="0.3" footer="0.3"/>
  <pageSetup paperSize="8" scale="8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P45" sqref="P4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61"/>
  <sheetViews>
    <sheetView workbookViewId="0">
      <selection activeCell="D3" sqref="D3"/>
    </sheetView>
  </sheetViews>
  <sheetFormatPr defaultRowHeight="14.4" x14ac:dyDescent="0.3"/>
  <cols>
    <col min="1" max="1" width="45.77734375" style="6" customWidth="1"/>
    <col min="2" max="2" width="11" style="6" customWidth="1"/>
    <col min="3" max="3" width="12.5546875" style="6" customWidth="1"/>
    <col min="4" max="4" width="18.44140625" style="6" customWidth="1"/>
    <col min="5" max="6" width="18.44140625" style="111" customWidth="1"/>
    <col min="7" max="7" width="48.6640625" style="6" customWidth="1"/>
    <col min="8" max="16384" width="8.88671875" style="6"/>
  </cols>
  <sheetData>
    <row r="2" spans="1:7" ht="43.8" customHeight="1" x14ac:dyDescent="0.3">
      <c r="A2" s="6" t="s">
        <v>158</v>
      </c>
      <c r="B2" s="6" t="s">
        <v>263</v>
      </c>
      <c r="C2" s="6" t="s">
        <v>117</v>
      </c>
      <c r="D2" s="6" t="s">
        <v>261</v>
      </c>
      <c r="E2" s="111" t="s">
        <v>264</v>
      </c>
      <c r="F2" s="111" t="s">
        <v>271</v>
      </c>
      <c r="G2" s="6" t="s">
        <v>162</v>
      </c>
    </row>
    <row r="3" spans="1:7" x14ac:dyDescent="0.3">
      <c r="A3" s="6" t="s">
        <v>159</v>
      </c>
      <c r="B3" s="6">
        <v>8915</v>
      </c>
      <c r="C3" s="6">
        <v>4457.5</v>
      </c>
      <c r="D3" s="8">
        <f>C3*(B12+B11)</f>
        <v>97.173500000000004</v>
      </c>
      <c r="E3" s="13">
        <f>B3*B28</f>
        <v>156012.5</v>
      </c>
      <c r="F3" s="13">
        <f>(B3*B28)+(D3*'DataStorageAll+4K+Archive'!$L$21)</f>
        <v>158578.85213499999</v>
      </c>
      <c r="G3" s="6" t="str">
        <f>A12</f>
        <v>ProRes 422 720 x 486 60i</v>
      </c>
    </row>
    <row r="4" spans="1:7" x14ac:dyDescent="0.3">
      <c r="A4" s="6" t="s">
        <v>160</v>
      </c>
      <c r="B4" s="6">
        <v>11462</v>
      </c>
      <c r="C4" s="6">
        <v>11162</v>
      </c>
      <c r="D4" s="8">
        <f>C4*(B12+B11)</f>
        <v>243.33160000000001</v>
      </c>
      <c r="E4" s="13">
        <f t="shared" ref="E4:E5" si="0">B4*B29</f>
        <v>389708</v>
      </c>
      <c r="F4" s="13">
        <f>(B4*B29)+(D4*'DataStorageAll+4K+Archive'!$L$21)</f>
        <v>396134.38755599997</v>
      </c>
      <c r="G4" s="6" t="str">
        <f>A12</f>
        <v>ProRes 422 720 x 486 60i</v>
      </c>
    </row>
    <row r="5" spans="1:7" x14ac:dyDescent="0.3">
      <c r="A5" s="6" t="s">
        <v>161</v>
      </c>
      <c r="B5" s="6">
        <v>8715</v>
      </c>
      <c r="C5" s="6">
        <v>10840</v>
      </c>
      <c r="D5" s="8">
        <f>C5*(B15+B14)</f>
        <v>1180.4760000000001</v>
      </c>
      <c r="E5" s="13">
        <f t="shared" si="0"/>
        <v>296310</v>
      </c>
      <c r="F5" s="13">
        <f>(B5*B30)+(D5*'DataStorageAll+4K+Archive'!$L$21)</f>
        <v>327486.37115999998</v>
      </c>
      <c r="G5" s="6" t="str">
        <f>A15</f>
        <v>ProRes Video Data Rate 422HQ HD 1920 x 1080 60i</v>
      </c>
    </row>
    <row r="6" spans="1:7" ht="15" thickBot="1" x14ac:dyDescent="0.35">
      <c r="A6" s="6" t="s">
        <v>254</v>
      </c>
      <c r="C6" s="16">
        <v>919</v>
      </c>
      <c r="D6" s="37">
        <f>C6*(B15+B14)</f>
        <v>100.07910000000001</v>
      </c>
      <c r="E6" s="18"/>
      <c r="F6" s="18"/>
      <c r="G6" s="16" t="str">
        <f>A15</f>
        <v>ProRes Video Data Rate 422HQ HD 1920 x 1080 60i</v>
      </c>
    </row>
    <row r="7" spans="1:7" ht="15" thickBot="1" x14ac:dyDescent="0.35">
      <c r="C7" s="68">
        <f>SUM(C3:C5)</f>
        <v>26459.5</v>
      </c>
      <c r="D7" s="69">
        <f>SUM(D3:D6)</f>
        <v>1621.0602000000001</v>
      </c>
      <c r="E7" s="122">
        <f>SUM(E3:E6)</f>
        <v>842030.5</v>
      </c>
      <c r="F7" s="122">
        <f>SUM(F3:F6)</f>
        <v>882199.61085099995</v>
      </c>
    </row>
    <row r="8" spans="1:7" x14ac:dyDescent="0.3">
      <c r="D8" s="36" t="s">
        <v>270</v>
      </c>
      <c r="E8" s="96">
        <f>D7*StorageCostCalculations!E26</f>
        <v>42812.199882000001</v>
      </c>
      <c r="F8" s="96"/>
    </row>
    <row r="9" spans="1:7" x14ac:dyDescent="0.3">
      <c r="D9" s="36" t="s">
        <v>93</v>
      </c>
      <c r="E9" s="123">
        <f>E7+E8</f>
        <v>884842.69988199999</v>
      </c>
      <c r="F9" s="123"/>
    </row>
    <row r="10" spans="1:7" ht="15" thickBot="1" x14ac:dyDescent="0.35"/>
    <row r="11" spans="1:7" ht="15" thickBot="1" x14ac:dyDescent="0.35">
      <c r="A11" s="118" t="s">
        <v>260</v>
      </c>
      <c r="B11" s="129">
        <f>B13/10</f>
        <v>2.8E-3</v>
      </c>
      <c r="C11" s="98" t="s">
        <v>116</v>
      </c>
      <c r="E11" s="6"/>
    </row>
    <row r="12" spans="1:7" ht="15" thickBot="1" x14ac:dyDescent="0.35">
      <c r="A12" s="119" t="s">
        <v>163</v>
      </c>
      <c r="B12" s="100">
        <v>1.9E-2</v>
      </c>
      <c r="C12" s="6" t="s">
        <v>116</v>
      </c>
      <c r="D12" s="111"/>
    </row>
    <row r="13" spans="1:7" ht="15" thickBot="1" x14ac:dyDescent="0.35">
      <c r="A13" s="120" t="s">
        <v>164</v>
      </c>
      <c r="B13" s="100">
        <v>2.8000000000000001E-2</v>
      </c>
      <c r="C13" s="6" t="s">
        <v>116</v>
      </c>
      <c r="D13" s="111"/>
    </row>
    <row r="14" spans="1:7" ht="15" thickBot="1" x14ac:dyDescent="0.35">
      <c r="A14" s="118" t="s">
        <v>259</v>
      </c>
      <c r="B14" s="129">
        <f>'DataStorageAll+4K+Archive'!D25</f>
        <v>9.9000000000000008E-3</v>
      </c>
      <c r="C14" s="98" t="s">
        <v>116</v>
      </c>
      <c r="D14" s="111"/>
    </row>
    <row r="15" spans="1:7" ht="15" thickBot="1" x14ac:dyDescent="0.35">
      <c r="A15" s="120" t="s">
        <v>255</v>
      </c>
      <c r="B15" s="129">
        <f>'DataStorageAll+4K+Archive'!D26</f>
        <v>9.9000000000000005E-2</v>
      </c>
      <c r="C15" s="98" t="s">
        <v>116</v>
      </c>
    </row>
    <row r="16" spans="1:7" ht="15" thickBot="1" x14ac:dyDescent="0.35">
      <c r="A16" s="119" t="s">
        <v>258</v>
      </c>
      <c r="B16" s="130">
        <f>'DataStorageAll+4K+Archive'!D27</f>
        <v>1.9800000000000002E-2</v>
      </c>
      <c r="C16" s="6" t="s">
        <v>116</v>
      </c>
    </row>
    <row r="17" spans="1:27" ht="15" thickBot="1" x14ac:dyDescent="0.35">
      <c r="A17" s="120" t="s">
        <v>165</v>
      </c>
      <c r="B17" s="129">
        <f>'DataStorageAll+4K+Archive'!D28</f>
        <v>0.19800000000000001</v>
      </c>
      <c r="C17" s="6" t="s">
        <v>116</v>
      </c>
    </row>
    <row r="18" spans="1:27" ht="15" thickBot="1" x14ac:dyDescent="0.35">
      <c r="A18" s="118" t="s">
        <v>141</v>
      </c>
      <c r="B18" s="129">
        <f>'DataStorageAll+4K+Archive'!D29</f>
        <v>8.48E-2</v>
      </c>
      <c r="C18" s="6" t="s">
        <v>116</v>
      </c>
    </row>
    <row r="19" spans="1:27" ht="15" thickBot="1" x14ac:dyDescent="0.35">
      <c r="A19" s="120" t="s">
        <v>166</v>
      </c>
      <c r="B19" s="129">
        <f>'DataStorageAll+4K+Archive'!D31</f>
        <v>0.84799999999999998</v>
      </c>
      <c r="C19" s="6" t="s">
        <v>116</v>
      </c>
    </row>
    <row r="20" spans="1:27" x14ac:dyDescent="0.3">
      <c r="A20" s="20"/>
    </row>
    <row r="21" spans="1:27" ht="15" thickBot="1" x14ac:dyDescent="0.35"/>
    <row r="22" spans="1:27" ht="15" thickBot="1" x14ac:dyDescent="0.35">
      <c r="A22" s="85" t="s">
        <v>185</v>
      </c>
      <c r="B22" s="102"/>
    </row>
    <row r="23" spans="1:27" ht="15" thickBot="1" x14ac:dyDescent="0.35">
      <c r="A23" s="103" t="s">
        <v>186</v>
      </c>
      <c r="B23" s="19">
        <v>0.13600000000000001</v>
      </c>
      <c r="C23" s="6" t="s">
        <v>187</v>
      </c>
    </row>
    <row r="24" spans="1:27" ht="15" thickBot="1" x14ac:dyDescent="0.35">
      <c r="A24" s="86" t="s">
        <v>188</v>
      </c>
      <c r="B24" s="104">
        <f>(B23*60)/B19</f>
        <v>9.6226415094339632</v>
      </c>
      <c r="C24" s="6" t="s">
        <v>189</v>
      </c>
    </row>
    <row r="26" spans="1:27" ht="15" thickBot="1" x14ac:dyDescent="0.35"/>
    <row r="27" spans="1:27" ht="29.4" thickBot="1" x14ac:dyDescent="0.35">
      <c r="A27" s="127" t="s">
        <v>266</v>
      </c>
      <c r="B27" s="128" t="s">
        <v>265</v>
      </c>
    </row>
    <row r="28" spans="1:27" x14ac:dyDescent="0.3">
      <c r="A28" s="125" t="s">
        <v>267</v>
      </c>
      <c r="B28" s="126">
        <v>17.5</v>
      </c>
    </row>
    <row r="29" spans="1:27" x14ac:dyDescent="0.3">
      <c r="A29" s="29" t="s">
        <v>268</v>
      </c>
      <c r="B29" s="124">
        <v>34</v>
      </c>
    </row>
    <row r="30" spans="1:27" ht="19.2" customHeight="1" x14ac:dyDescent="0.3">
      <c r="A30" s="29" t="s">
        <v>269</v>
      </c>
      <c r="B30" s="124">
        <v>34</v>
      </c>
      <c r="H30" s="9"/>
      <c r="Q30" s="9"/>
      <c r="R30" s="9"/>
      <c r="AA30" s="6" t="s">
        <v>157</v>
      </c>
    </row>
    <row r="31" spans="1:27" x14ac:dyDescent="0.3">
      <c r="H31" s="9"/>
      <c r="Q31" s="9"/>
      <c r="R31" s="9"/>
    </row>
    <row r="61" spans="7:7" x14ac:dyDescent="0.3">
      <c r="G61" s="12">
        <v>24962</v>
      </c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4" sqref="F14"/>
    </sheetView>
  </sheetViews>
  <sheetFormatPr defaultRowHeight="14.4" x14ac:dyDescent="0.3"/>
  <cols>
    <col min="1" max="2" width="12.6640625" customWidth="1"/>
    <col min="3" max="3" width="14.33203125" customWidth="1"/>
    <col min="4" max="5" width="8.88671875" style="3"/>
    <col min="6" max="6" width="8.88671875" style="165"/>
  </cols>
  <sheetData>
    <row r="1" spans="1:6" x14ac:dyDescent="0.3">
      <c r="A1" s="5" t="s">
        <v>99</v>
      </c>
      <c r="B1" s="5" t="s">
        <v>103</v>
      </c>
      <c r="C1" s="5" t="s">
        <v>100</v>
      </c>
      <c r="D1" s="4" t="s">
        <v>101</v>
      </c>
      <c r="E1" s="4" t="s">
        <v>102</v>
      </c>
      <c r="F1" s="164" t="s">
        <v>274</v>
      </c>
    </row>
    <row r="3" spans="1:6" x14ac:dyDescent="0.3">
      <c r="A3" t="s">
        <v>104</v>
      </c>
      <c r="B3">
        <v>2.5</v>
      </c>
      <c r="C3">
        <v>5</v>
      </c>
      <c r="D3" s="3">
        <v>130</v>
      </c>
      <c r="E3" s="4">
        <f>D3/B3/C3</f>
        <v>10.4</v>
      </c>
    </row>
    <row r="4" spans="1:6" x14ac:dyDescent="0.3">
      <c r="A4" t="s">
        <v>104</v>
      </c>
      <c r="B4">
        <v>2.5</v>
      </c>
      <c r="C4">
        <v>1</v>
      </c>
      <c r="D4" s="3">
        <v>22.58</v>
      </c>
      <c r="E4" s="4">
        <f t="shared" ref="E4:E6" si="0">D4/B4/C4</f>
        <v>9.032</v>
      </c>
    </row>
    <row r="5" spans="1:6" x14ac:dyDescent="0.3">
      <c r="A5" t="s">
        <v>105</v>
      </c>
      <c r="B5">
        <v>6</v>
      </c>
      <c r="C5">
        <v>20</v>
      </c>
      <c r="D5" s="3">
        <v>1195</v>
      </c>
      <c r="E5" s="4">
        <f t="shared" si="0"/>
        <v>9.9583333333333321</v>
      </c>
    </row>
    <row r="6" spans="1:6" x14ac:dyDescent="0.3">
      <c r="A6" t="s">
        <v>106</v>
      </c>
      <c r="B6">
        <v>12</v>
      </c>
      <c r="C6">
        <v>20</v>
      </c>
      <c r="D6" s="3">
        <v>4340</v>
      </c>
      <c r="E6" s="4">
        <f t="shared" si="0"/>
        <v>18.083333333333336</v>
      </c>
    </row>
    <row r="7" spans="1:6" x14ac:dyDescent="0.3">
      <c r="A7" t="s">
        <v>106</v>
      </c>
      <c r="B7" s="75">
        <v>12</v>
      </c>
      <c r="C7" s="75">
        <v>1</v>
      </c>
      <c r="D7" s="76">
        <v>158.46</v>
      </c>
      <c r="E7" s="77">
        <f t="shared" ref="E7" si="1">D7/B7/C7</f>
        <v>13.205</v>
      </c>
      <c r="F7" s="165" t="s">
        <v>273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16" sqref="H16"/>
    </sheetView>
  </sheetViews>
  <sheetFormatPr defaultRowHeight="14.4" x14ac:dyDescent="0.3"/>
  <cols>
    <col min="1" max="1" width="26.77734375" customWidth="1"/>
    <col min="2" max="2" width="16.21875" customWidth="1"/>
    <col min="3" max="3" width="18.109375" customWidth="1"/>
    <col min="4" max="4" width="34.109375" customWidth="1"/>
    <col min="5" max="5" width="13.33203125" customWidth="1"/>
    <col min="6" max="6" width="23.44140625" customWidth="1"/>
    <col min="7" max="7" width="12.109375" customWidth="1"/>
  </cols>
  <sheetData>
    <row r="1" spans="1:8" x14ac:dyDescent="0.3">
      <c r="E1" t="s">
        <v>98</v>
      </c>
    </row>
    <row r="2" spans="1:8" x14ac:dyDescent="0.3">
      <c r="A2" t="s">
        <v>95</v>
      </c>
      <c r="B2" s="1">
        <v>42927</v>
      </c>
      <c r="C2" t="s">
        <v>95</v>
      </c>
      <c r="D2" t="s">
        <v>96</v>
      </c>
      <c r="E2">
        <v>1710935</v>
      </c>
      <c r="F2" s="2">
        <v>25151.21</v>
      </c>
    </row>
    <row r="3" spans="1:8" x14ac:dyDescent="0.3">
      <c r="A3" t="s">
        <v>95</v>
      </c>
      <c r="B3" s="1">
        <v>42821</v>
      </c>
      <c r="C3" t="s">
        <v>95</v>
      </c>
      <c r="D3" t="s">
        <v>96</v>
      </c>
      <c r="E3">
        <v>1710491</v>
      </c>
      <c r="F3" s="2">
        <v>15945.93</v>
      </c>
    </row>
    <row r="4" spans="1:8" x14ac:dyDescent="0.3">
      <c r="A4" t="s">
        <v>95</v>
      </c>
      <c r="B4" s="1">
        <v>42815</v>
      </c>
      <c r="C4" t="s">
        <v>95</v>
      </c>
      <c r="D4" t="s">
        <v>96</v>
      </c>
      <c r="E4">
        <v>1710467</v>
      </c>
      <c r="F4" s="2">
        <v>36384.639999999999</v>
      </c>
    </row>
    <row r="5" spans="1:8" x14ac:dyDescent="0.3">
      <c r="A5" t="s">
        <v>95</v>
      </c>
      <c r="B5" s="1">
        <v>42674</v>
      </c>
      <c r="C5" t="s">
        <v>95</v>
      </c>
      <c r="D5" t="s">
        <v>96</v>
      </c>
      <c r="E5">
        <v>1611229</v>
      </c>
      <c r="F5" s="2">
        <v>32127.56</v>
      </c>
    </row>
    <row r="6" spans="1:8" x14ac:dyDescent="0.3">
      <c r="A6" t="s">
        <v>95</v>
      </c>
      <c r="B6" s="1">
        <v>42543</v>
      </c>
      <c r="C6" t="s">
        <v>95</v>
      </c>
      <c r="D6" t="s">
        <v>96</v>
      </c>
      <c r="E6">
        <v>1610784</v>
      </c>
      <c r="F6" s="2">
        <v>48191.33</v>
      </c>
    </row>
    <row r="7" spans="1:8" x14ac:dyDescent="0.3">
      <c r="A7" t="s">
        <v>95</v>
      </c>
      <c r="B7" s="1">
        <v>42321</v>
      </c>
      <c r="C7" t="s">
        <v>95</v>
      </c>
      <c r="D7" t="s">
        <v>96</v>
      </c>
      <c r="E7">
        <v>1511582</v>
      </c>
      <c r="F7" s="2">
        <v>45118.5</v>
      </c>
    </row>
    <row r="8" spans="1:8" x14ac:dyDescent="0.3">
      <c r="A8" t="s">
        <v>95</v>
      </c>
      <c r="B8" s="1">
        <v>42240</v>
      </c>
      <c r="C8" t="s">
        <v>95</v>
      </c>
      <c r="D8" t="s">
        <v>96</v>
      </c>
      <c r="E8">
        <v>1511123</v>
      </c>
      <c r="F8" s="2">
        <v>39478.68</v>
      </c>
    </row>
    <row r="9" spans="1:8" x14ac:dyDescent="0.3">
      <c r="A9" t="s">
        <v>95</v>
      </c>
      <c r="B9" s="1">
        <v>41870</v>
      </c>
      <c r="C9" t="s">
        <v>95</v>
      </c>
      <c r="D9" t="s">
        <v>96</v>
      </c>
      <c r="E9">
        <v>1411275</v>
      </c>
      <c r="F9" s="2">
        <v>59727</v>
      </c>
    </row>
    <row r="10" spans="1:8" x14ac:dyDescent="0.3">
      <c r="A10" t="s">
        <v>95</v>
      </c>
      <c r="B10" s="1">
        <v>41569</v>
      </c>
      <c r="C10" t="s">
        <v>95</v>
      </c>
      <c r="D10" t="s">
        <v>96</v>
      </c>
      <c r="E10">
        <v>1311575</v>
      </c>
      <c r="F10" s="2">
        <v>96289.05</v>
      </c>
    </row>
    <row r="11" spans="1:8" x14ac:dyDescent="0.3">
      <c r="A11" t="s">
        <v>95</v>
      </c>
      <c r="B11" s="1">
        <v>41401</v>
      </c>
      <c r="C11" t="s">
        <v>95</v>
      </c>
      <c r="D11" t="s">
        <v>96</v>
      </c>
      <c r="E11">
        <v>1310788</v>
      </c>
      <c r="F11" s="2">
        <v>24072.26</v>
      </c>
    </row>
    <row r="12" spans="1:8" x14ac:dyDescent="0.3">
      <c r="A12" t="s">
        <v>95</v>
      </c>
      <c r="B12" s="1">
        <v>41260</v>
      </c>
      <c r="C12" t="s">
        <v>95</v>
      </c>
      <c r="D12" t="s">
        <v>96</v>
      </c>
      <c r="E12">
        <v>1211503</v>
      </c>
      <c r="F12" s="2">
        <v>24072.26</v>
      </c>
      <c r="G12" t="s">
        <v>152</v>
      </c>
    </row>
    <row r="13" spans="1:8" x14ac:dyDescent="0.3">
      <c r="E13" t="s">
        <v>97</v>
      </c>
      <c r="F13" s="64">
        <f>SUM(F2:F12)</f>
        <v>446558.42</v>
      </c>
      <c r="G13" s="64">
        <f>F13/5</f>
        <v>89311.683999999994</v>
      </c>
    </row>
    <row r="14" spans="1:8" ht="15" thickBot="1" x14ac:dyDescent="0.35">
      <c r="G14" s="65">
        <v>12000</v>
      </c>
      <c r="H14" t="s">
        <v>153</v>
      </c>
    </row>
    <row r="15" spans="1:8" x14ac:dyDescent="0.3">
      <c r="G15" s="2">
        <f>SUM(G13:G14)</f>
        <v>101311.68399999999</v>
      </c>
      <c r="H15" t="s">
        <v>154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4" workbookViewId="0">
      <selection activeCell="J36" sqref="J36"/>
    </sheetView>
  </sheetViews>
  <sheetFormatPr defaultRowHeight="14.4" x14ac:dyDescent="0.3"/>
  <cols>
    <col min="1" max="1" width="8.21875" bestFit="1" customWidth="1"/>
    <col min="2" max="2" width="56.6640625" bestFit="1" customWidth="1"/>
    <col min="3" max="3" width="21.33203125" bestFit="1" customWidth="1"/>
    <col min="4" max="4" width="26.88671875" bestFit="1" customWidth="1"/>
    <col min="5" max="5" width="12" bestFit="1" customWidth="1"/>
    <col min="6" max="6" width="13.44140625" customWidth="1"/>
    <col min="11" max="11" width="12.109375" style="165" customWidth="1"/>
    <col min="12" max="12" width="40.5546875" style="166" customWidth="1"/>
    <col min="13" max="13" width="12.88671875" style="16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94</v>
      </c>
    </row>
    <row r="2" spans="1:6" x14ac:dyDescent="0.3">
      <c r="A2">
        <v>901804</v>
      </c>
      <c r="B2" t="s">
        <v>79</v>
      </c>
      <c r="C2" t="s">
        <v>80</v>
      </c>
      <c r="E2">
        <v>1</v>
      </c>
    </row>
    <row r="3" spans="1:6" x14ac:dyDescent="0.3">
      <c r="A3">
        <v>901904</v>
      </c>
      <c r="B3" t="s">
        <v>90</v>
      </c>
      <c r="C3" t="s">
        <v>91</v>
      </c>
      <c r="E3">
        <v>1</v>
      </c>
    </row>
    <row r="4" spans="1:6" x14ac:dyDescent="0.3">
      <c r="A4">
        <v>901608</v>
      </c>
      <c r="B4" t="s">
        <v>65</v>
      </c>
      <c r="C4" t="s">
        <v>66</v>
      </c>
      <c r="D4" t="s">
        <v>11</v>
      </c>
      <c r="E4">
        <v>2</v>
      </c>
    </row>
    <row r="5" spans="1:6" x14ac:dyDescent="0.3">
      <c r="A5">
        <v>901901</v>
      </c>
      <c r="B5" t="s">
        <v>86</v>
      </c>
      <c r="C5" t="s">
        <v>87</v>
      </c>
      <c r="E5">
        <v>2</v>
      </c>
    </row>
    <row r="6" spans="1:6" x14ac:dyDescent="0.3">
      <c r="A6">
        <v>901809</v>
      </c>
      <c r="B6" t="s">
        <v>83</v>
      </c>
      <c r="C6" t="s">
        <v>60</v>
      </c>
      <c r="E6">
        <v>5</v>
      </c>
    </row>
    <row r="7" spans="1:6" x14ac:dyDescent="0.3">
      <c r="A7">
        <v>901911</v>
      </c>
      <c r="B7" t="s">
        <v>73</v>
      </c>
      <c r="C7" t="s">
        <v>74</v>
      </c>
      <c r="E7">
        <v>5</v>
      </c>
    </row>
    <row r="8" spans="1:6" x14ac:dyDescent="0.3">
      <c r="A8">
        <v>901700</v>
      </c>
      <c r="B8" t="s">
        <v>71</v>
      </c>
      <c r="C8" t="s">
        <v>72</v>
      </c>
      <c r="E8">
        <v>6.6</v>
      </c>
    </row>
    <row r="9" spans="1:6" x14ac:dyDescent="0.3">
      <c r="A9">
        <v>901800</v>
      </c>
      <c r="B9" t="s">
        <v>77</v>
      </c>
      <c r="C9" t="s">
        <v>78</v>
      </c>
      <c r="E9">
        <v>8</v>
      </c>
    </row>
    <row r="10" spans="1:6" x14ac:dyDescent="0.3">
      <c r="A10">
        <v>901902</v>
      </c>
      <c r="B10" t="s">
        <v>88</v>
      </c>
      <c r="C10" t="s">
        <v>89</v>
      </c>
      <c r="E10">
        <v>9</v>
      </c>
    </row>
    <row r="11" spans="1:6" x14ac:dyDescent="0.3">
      <c r="A11">
        <v>901114</v>
      </c>
      <c r="B11" t="s">
        <v>43</v>
      </c>
      <c r="C11" t="s">
        <v>44</v>
      </c>
      <c r="E11">
        <v>20</v>
      </c>
    </row>
    <row r="12" spans="1:6" x14ac:dyDescent="0.3">
      <c r="A12">
        <v>901502</v>
      </c>
      <c r="B12" t="s">
        <v>56</v>
      </c>
      <c r="C12" t="s">
        <v>57</v>
      </c>
      <c r="D12" t="s">
        <v>58</v>
      </c>
      <c r="E12">
        <v>27</v>
      </c>
    </row>
    <row r="13" spans="1:6" x14ac:dyDescent="0.3">
      <c r="A13">
        <v>901101</v>
      </c>
      <c r="B13" t="s">
        <v>34</v>
      </c>
      <c r="C13" t="s">
        <v>16</v>
      </c>
      <c r="D13" t="s">
        <v>35</v>
      </c>
      <c r="E13">
        <v>40</v>
      </c>
    </row>
    <row r="14" spans="1:6" x14ac:dyDescent="0.3">
      <c r="A14">
        <v>901906</v>
      </c>
      <c r="B14" t="s">
        <v>92</v>
      </c>
      <c r="C14" t="s">
        <v>80</v>
      </c>
      <c r="F14">
        <v>1</v>
      </c>
    </row>
    <row r="15" spans="1:6" x14ac:dyDescent="0.3">
      <c r="A15">
        <v>901807</v>
      </c>
      <c r="B15" t="s">
        <v>81</v>
      </c>
      <c r="C15" t="s">
        <v>82</v>
      </c>
      <c r="F15">
        <v>8</v>
      </c>
    </row>
    <row r="16" spans="1:6" x14ac:dyDescent="0.3">
      <c r="A16">
        <v>901221</v>
      </c>
      <c r="B16" t="s">
        <v>51</v>
      </c>
      <c r="C16" t="s">
        <v>52</v>
      </c>
      <c r="D16" t="s">
        <v>53</v>
      </c>
      <c r="F16">
        <v>12</v>
      </c>
    </row>
    <row r="17" spans="1:6" x14ac:dyDescent="0.3">
      <c r="A17">
        <v>901900</v>
      </c>
      <c r="B17" t="s">
        <v>84</v>
      </c>
      <c r="C17" t="s">
        <v>85</v>
      </c>
      <c r="F17">
        <v>700</v>
      </c>
    </row>
    <row r="18" spans="1:6" x14ac:dyDescent="0.3">
      <c r="A18">
        <v>500055</v>
      </c>
      <c r="B18" t="s">
        <v>5</v>
      </c>
      <c r="C18" t="s">
        <v>6</v>
      </c>
      <c r="D18" t="s">
        <v>7</v>
      </c>
    </row>
    <row r="19" spans="1:6" x14ac:dyDescent="0.3">
      <c r="A19">
        <v>500055</v>
      </c>
      <c r="B19" t="s">
        <v>8</v>
      </c>
      <c r="C19" t="s">
        <v>6</v>
      </c>
      <c r="D19" t="s">
        <v>9</v>
      </c>
    </row>
    <row r="20" spans="1:6" x14ac:dyDescent="0.3">
      <c r="A20">
        <v>500055</v>
      </c>
      <c r="B20" t="s">
        <v>10</v>
      </c>
      <c r="C20" t="s">
        <v>6</v>
      </c>
      <c r="D20" t="s">
        <v>11</v>
      </c>
    </row>
    <row r="21" spans="1:6" x14ac:dyDescent="0.3">
      <c r="A21">
        <v>500055</v>
      </c>
      <c r="B21" t="s">
        <v>12</v>
      </c>
      <c r="C21" t="s">
        <v>6</v>
      </c>
      <c r="D21" t="s">
        <v>13</v>
      </c>
    </row>
    <row r="22" spans="1:6" x14ac:dyDescent="0.3">
      <c r="A22">
        <v>500055</v>
      </c>
      <c r="B22" t="s">
        <v>14</v>
      </c>
      <c r="C22" t="s">
        <v>6</v>
      </c>
      <c r="D22" t="s">
        <v>11</v>
      </c>
    </row>
    <row r="23" spans="1:6" x14ac:dyDescent="0.3">
      <c r="A23">
        <v>708118</v>
      </c>
      <c r="B23" t="s">
        <v>15</v>
      </c>
      <c r="C23" t="s">
        <v>16</v>
      </c>
      <c r="D23" t="s">
        <v>17</v>
      </c>
    </row>
    <row r="24" spans="1:6" x14ac:dyDescent="0.3">
      <c r="A24">
        <v>901009</v>
      </c>
      <c r="B24" t="s">
        <v>18</v>
      </c>
      <c r="C24" t="s">
        <v>19</v>
      </c>
      <c r="D24" t="s">
        <v>20</v>
      </c>
    </row>
    <row r="25" spans="1:6" x14ac:dyDescent="0.3">
      <c r="A25">
        <v>901023</v>
      </c>
      <c r="B25" t="s">
        <v>21</v>
      </c>
      <c r="C25" t="s">
        <v>16</v>
      </c>
      <c r="D25" t="s">
        <v>17</v>
      </c>
    </row>
    <row r="26" spans="1:6" x14ac:dyDescent="0.3">
      <c r="A26">
        <v>901023</v>
      </c>
      <c r="B26" t="s">
        <v>22</v>
      </c>
      <c r="C26" t="s">
        <v>16</v>
      </c>
      <c r="D26" t="s">
        <v>23</v>
      </c>
    </row>
    <row r="27" spans="1:6" x14ac:dyDescent="0.3">
      <c r="A27">
        <v>901023</v>
      </c>
      <c r="B27" t="s">
        <v>24</v>
      </c>
      <c r="C27" t="s">
        <v>16</v>
      </c>
      <c r="D27" t="s">
        <v>17</v>
      </c>
    </row>
    <row r="28" spans="1:6" x14ac:dyDescent="0.3">
      <c r="A28">
        <v>901023</v>
      </c>
      <c r="B28" t="s">
        <v>25</v>
      </c>
      <c r="C28" t="s">
        <v>26</v>
      </c>
      <c r="D28" t="s">
        <v>23</v>
      </c>
    </row>
    <row r="29" spans="1:6" x14ac:dyDescent="0.3">
      <c r="A29">
        <v>901023</v>
      </c>
      <c r="B29" t="s">
        <v>27</v>
      </c>
      <c r="C29" t="s">
        <v>28</v>
      </c>
      <c r="D29" t="s">
        <v>29</v>
      </c>
    </row>
    <row r="30" spans="1:6" x14ac:dyDescent="0.3">
      <c r="A30">
        <v>901024</v>
      </c>
      <c r="B30" t="s">
        <v>30</v>
      </c>
      <c r="C30" t="s">
        <v>31</v>
      </c>
      <c r="D30" t="s">
        <v>17</v>
      </c>
    </row>
    <row r="31" spans="1:6" x14ac:dyDescent="0.3">
      <c r="A31">
        <v>901024</v>
      </c>
      <c r="B31" t="s">
        <v>30</v>
      </c>
      <c r="C31" t="s">
        <v>32</v>
      </c>
      <c r="D31" t="s">
        <v>33</v>
      </c>
    </row>
    <row r="32" spans="1:6" x14ac:dyDescent="0.3">
      <c r="A32">
        <v>901103</v>
      </c>
      <c r="B32" t="s">
        <v>36</v>
      </c>
      <c r="C32" t="s">
        <v>37</v>
      </c>
      <c r="D32" t="s">
        <v>11</v>
      </c>
    </row>
    <row r="33" spans="1:7" x14ac:dyDescent="0.3">
      <c r="A33">
        <v>901112</v>
      </c>
      <c r="B33" t="s">
        <v>38</v>
      </c>
      <c r="C33" t="s">
        <v>19</v>
      </c>
      <c r="D33" t="s">
        <v>39</v>
      </c>
    </row>
    <row r="34" spans="1:7" x14ac:dyDescent="0.3">
      <c r="A34">
        <v>901113</v>
      </c>
      <c r="B34" t="s">
        <v>40</v>
      </c>
      <c r="C34" t="s">
        <v>41</v>
      </c>
      <c r="D34" t="s">
        <v>42</v>
      </c>
    </row>
    <row r="35" spans="1:7" x14ac:dyDescent="0.3">
      <c r="A35">
        <v>901200</v>
      </c>
      <c r="B35" t="s">
        <v>45</v>
      </c>
      <c r="C35" t="s">
        <v>46</v>
      </c>
    </row>
    <row r="36" spans="1:7" x14ac:dyDescent="0.3">
      <c r="A36">
        <v>901204</v>
      </c>
      <c r="B36" t="s">
        <v>47</v>
      </c>
      <c r="C36" t="s">
        <v>48</v>
      </c>
    </row>
    <row r="37" spans="1:7" x14ac:dyDescent="0.3">
      <c r="A37">
        <v>901216</v>
      </c>
      <c r="B37" t="s">
        <v>49</v>
      </c>
      <c r="C37" t="s">
        <v>50</v>
      </c>
      <c r="D37" t="s">
        <v>11</v>
      </c>
    </row>
    <row r="38" spans="1:7" x14ac:dyDescent="0.3">
      <c r="A38">
        <v>901500</v>
      </c>
      <c r="B38" t="s">
        <v>54</v>
      </c>
      <c r="C38" t="s">
        <v>55</v>
      </c>
    </row>
    <row r="39" spans="1:7" x14ac:dyDescent="0.3">
      <c r="A39">
        <v>901506</v>
      </c>
      <c r="B39" t="s">
        <v>59</v>
      </c>
      <c r="C39" t="s">
        <v>60</v>
      </c>
      <c r="D39" t="s">
        <v>61</v>
      </c>
    </row>
    <row r="40" spans="1:7" x14ac:dyDescent="0.3">
      <c r="A40">
        <v>901601</v>
      </c>
      <c r="B40" t="s">
        <v>62</v>
      </c>
      <c r="C40" t="s">
        <v>16</v>
      </c>
      <c r="D40" t="s">
        <v>23</v>
      </c>
    </row>
    <row r="41" spans="1:7" x14ac:dyDescent="0.3">
      <c r="A41">
        <v>901603</v>
      </c>
      <c r="B41" t="s">
        <v>63</v>
      </c>
      <c r="C41" t="s">
        <v>6</v>
      </c>
    </row>
    <row r="42" spans="1:7" x14ac:dyDescent="0.3">
      <c r="A42">
        <v>901608</v>
      </c>
      <c r="B42" t="s">
        <v>64</v>
      </c>
      <c r="C42" t="s">
        <v>55</v>
      </c>
    </row>
    <row r="43" spans="1:7" x14ac:dyDescent="0.3">
      <c r="A43">
        <v>901618</v>
      </c>
      <c r="B43" t="s">
        <v>67</v>
      </c>
      <c r="C43" t="s">
        <v>41</v>
      </c>
      <c r="D43" t="s">
        <v>42</v>
      </c>
    </row>
    <row r="44" spans="1:7" x14ac:dyDescent="0.3">
      <c r="A44">
        <v>901717</v>
      </c>
      <c r="B44" t="s">
        <v>75</v>
      </c>
      <c r="C44" t="s">
        <v>76</v>
      </c>
    </row>
    <row r="45" spans="1:7" x14ac:dyDescent="0.3">
      <c r="B45" t="s">
        <v>68</v>
      </c>
      <c r="C45" t="s">
        <v>69</v>
      </c>
      <c r="D45" t="s">
        <v>70</v>
      </c>
    </row>
    <row r="47" spans="1:7" x14ac:dyDescent="0.3">
      <c r="D47" s="62" t="s">
        <v>275</v>
      </c>
      <c r="E47">
        <f>SUM(E2:E45)</f>
        <v>126.6</v>
      </c>
      <c r="F47">
        <f>SUM(F2:F45)</f>
        <v>721</v>
      </c>
      <c r="G47" t="s">
        <v>276</v>
      </c>
    </row>
    <row r="48" spans="1:7" x14ac:dyDescent="0.3">
      <c r="D48" s="62"/>
    </row>
  </sheetData>
  <sortState ref="A3:F17">
    <sortCondition ref="E3:E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DecisionMartix</vt:lpstr>
      <vt:lpstr>StorageCharts</vt:lpstr>
      <vt:lpstr>DataStorageAll+4K+Archive</vt:lpstr>
      <vt:lpstr>StorageCostCalculations</vt:lpstr>
      <vt:lpstr>ConvertingCharts</vt:lpstr>
      <vt:lpstr>ConvertingVideoArchive</vt:lpstr>
      <vt:lpstr>LTO Tape Costs</vt:lpstr>
      <vt:lpstr>D5 TapeBuys</vt:lpstr>
      <vt:lpstr>MBARIDataStorProjections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2019-04-02T19:54:53Z</cp:lastPrinted>
  <dcterms:created xsi:type="dcterms:W3CDTF">2019-02-19T19:36:50Z</dcterms:created>
  <dcterms:modified xsi:type="dcterms:W3CDTF">2019-08-23T00:37:37Z</dcterms:modified>
</cp:coreProperties>
</file>